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5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pivotTables/pivotTable1.xml" ContentType="application/vnd.openxmlformats-officedocument.spreadsheetml.pivotTable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9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58dd0a3cbcf5c5a/Documents/Job Search/Articles/Data Center Cost Drivers - Power Availability/"/>
    </mc:Choice>
  </mc:AlternateContent>
  <xr:revisionPtr revIDLastSave="1126" documentId="11_F25DC773A252ABDACC1048EAA99D4EB45BDE58E9" xr6:coauthVersionLast="47" xr6:coauthVersionMax="47" xr10:uidLastSave="{7326372A-1E29-49EC-B7C6-D16EA871E85A}"/>
  <bookViews>
    <workbookView xWindow="-28920" yWindow="-120" windowWidth="29040" windowHeight="15840" xr2:uid="{00000000-000D-0000-FFFF-FFFF00000000}"/>
  </bookViews>
  <sheets>
    <sheet name="Figures and Tables" sheetId="1" r:id="rId1"/>
    <sheet name="Input Tabs &gt;&gt;&gt;" sheetId="13" r:id="rId2"/>
    <sheet name="Figure 1" sheetId="2" r:id="rId3"/>
    <sheet name="Figure 2" sheetId="3" r:id="rId4"/>
    <sheet name="Figure 5" sheetId="6" r:id="rId5"/>
    <sheet name="Figure 6" sheetId="7" r:id="rId6"/>
    <sheet name="Figure 8" sheetId="8" r:id="rId7"/>
    <sheet name="Figures 9, 10, and 11" sheetId="9" r:id="rId8"/>
    <sheet name="Figures 12, 13 and 14" sheetId="10" r:id="rId9"/>
    <sheet name="Figure 15" sheetId="11" r:id="rId10"/>
    <sheet name="Figure 16" sheetId="12" r:id="rId11"/>
  </sheets>
  <calcPr calcId="191029"/>
  <pivotCaches>
    <pivotCache cacheId="94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4" i="10" l="1"/>
  <c r="T25" i="10"/>
  <c r="T26" i="10"/>
  <c r="T27" i="10"/>
  <c r="T28" i="10"/>
  <c r="T23" i="10"/>
  <c r="K16" i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M10" i="1"/>
  <c r="L10" i="1"/>
  <c r="B6" i="12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5" i="12"/>
  <c r="C24" i="11"/>
  <c r="D24" i="11"/>
  <c r="E24" i="11"/>
  <c r="C25" i="11"/>
  <c r="D25" i="11"/>
  <c r="E25" i="11"/>
  <c r="D23" i="11"/>
  <c r="E23" i="11"/>
  <c r="C23" i="11"/>
  <c r="B26" i="11"/>
  <c r="C26" i="11" s="1"/>
  <c r="U58" i="10"/>
  <c r="C23" i="9"/>
  <c r="C27" i="9" s="1"/>
  <c r="J27" i="9" s="1"/>
  <c r="F24" i="9"/>
  <c r="F23" i="9"/>
  <c r="F22" i="9"/>
  <c r="M35" i="3"/>
  <c r="M36" i="3" s="1"/>
  <c r="M37" i="3" s="1"/>
  <c r="M38" i="3" s="1"/>
  <c r="L35" i="3"/>
  <c r="L36" i="3" s="1"/>
  <c r="L37" i="3" s="1"/>
  <c r="L38" i="3" s="1"/>
  <c r="M30" i="3"/>
  <c r="M31" i="3" s="1"/>
  <c r="M32" i="3" s="1"/>
  <c r="M33" i="3" s="1"/>
  <c r="L30" i="3"/>
  <c r="L31" i="3" s="1"/>
  <c r="L32" i="3" s="1"/>
  <c r="L33" i="3" s="1"/>
  <c r="K26" i="3"/>
  <c r="K27" i="3" s="1"/>
  <c r="K28" i="3" s="1"/>
  <c r="D26" i="11" l="1"/>
  <c r="C26" i="9"/>
  <c r="J26" i="9" s="1"/>
  <c r="S26" i="9" s="1"/>
  <c r="J23" i="9"/>
  <c r="C24" i="9"/>
  <c r="J24" i="9" s="1"/>
  <c r="C25" i="9"/>
  <c r="J25" i="9" s="1"/>
  <c r="S25" i="9" s="1"/>
  <c r="S23" i="9"/>
  <c r="S27" i="9"/>
  <c r="K27" i="9"/>
  <c r="S24" i="9"/>
  <c r="L24" i="9"/>
  <c r="K25" i="9"/>
  <c r="L25" i="9"/>
  <c r="M24" i="9"/>
  <c r="L23" i="9"/>
  <c r="K24" i="9"/>
  <c r="M27" i="9"/>
  <c r="L27" i="9"/>
  <c r="M26" i="9"/>
  <c r="L26" i="9"/>
  <c r="K26" i="9"/>
  <c r="M25" i="9"/>
  <c r="E26" i="11"/>
  <c r="B27" i="11"/>
  <c r="K29" i="3"/>
  <c r="K30" i="3" s="1"/>
  <c r="K31" i="3" s="1"/>
  <c r="K32" i="3" s="1"/>
  <c r="K33" i="3" s="1"/>
  <c r="K34" i="3" s="1"/>
  <c r="K35" i="3" s="1"/>
  <c r="K36" i="3" s="1"/>
  <c r="K37" i="3" s="1"/>
  <c r="K38" i="3" s="1"/>
  <c r="K39" i="3" s="1"/>
  <c r="M28" i="3"/>
  <c r="L28" i="3"/>
  <c r="M23" i="9" l="1"/>
  <c r="K23" i="9"/>
  <c r="B28" i="11"/>
  <c r="C27" i="11"/>
  <c r="D27" i="11"/>
  <c r="E27" i="11"/>
  <c r="K24" i="2"/>
  <c r="K25" i="2" s="1"/>
  <c r="K26" i="2" s="1"/>
  <c r="K27" i="2" s="1"/>
  <c r="K28" i="2" s="1"/>
  <c r="K29" i="2" s="1"/>
  <c r="K30" i="2" s="1"/>
  <c r="K31" i="2" s="1"/>
  <c r="J23" i="2"/>
  <c r="J24" i="2" s="1"/>
  <c r="J25" i="2" s="1"/>
  <c r="J26" i="2" s="1"/>
  <c r="J27" i="2" s="1"/>
  <c r="J28" i="2" s="1"/>
  <c r="J29" i="2" s="1"/>
  <c r="J30" i="2" s="1"/>
  <c r="J31" i="2" s="1"/>
  <c r="B29" i="11" l="1"/>
  <c r="C28" i="11"/>
  <c r="D28" i="11"/>
  <c r="E28" i="11"/>
  <c r="B30" i="11" l="1"/>
  <c r="D29" i="11"/>
  <c r="E29" i="11"/>
  <c r="C29" i="11"/>
  <c r="B31" i="11" l="1"/>
  <c r="C30" i="11"/>
  <c r="D30" i="11"/>
  <c r="E30" i="11"/>
  <c r="B32" i="11" l="1"/>
  <c r="E31" i="11"/>
  <c r="C31" i="11"/>
  <c r="D31" i="11"/>
  <c r="C32" i="11" l="1"/>
  <c r="E32" i="11"/>
  <c r="D32" i="11"/>
</calcChain>
</file>

<file path=xl/sharedStrings.xml><?xml version="1.0" encoding="utf-8"?>
<sst xmlns="http://schemas.openxmlformats.org/spreadsheetml/2006/main" count="318" uniqueCount="152">
  <si>
    <t>Source:</t>
  </si>
  <si>
    <t>https://www.fortunebusinessinsights.com/data-center-market-109851</t>
  </si>
  <si>
    <t>Year</t>
  </si>
  <si>
    <t>Market Size ($B)</t>
  </si>
  <si>
    <t>CAGR (%)</t>
  </si>
  <si>
    <t>Data Center Market Size Forecast (2025-2034)</t>
  </si>
  <si>
    <t>Low Scenario</t>
  </si>
  <si>
    <t>High Scenario</t>
  </si>
  <si>
    <t>Interpolated</t>
  </si>
  <si>
    <t>Data Center Load Growth Forecast, Low and High Scenarios (TWh)</t>
  </si>
  <si>
    <t>Data Centers</t>
  </si>
  <si>
    <t>Traditional Real Estate</t>
  </si>
  <si>
    <t>Metric</t>
  </si>
  <si>
    <t>Cost Driver</t>
  </si>
  <si>
    <t>Key Constraint</t>
  </si>
  <si>
    <t>$/kW/month</t>
  </si>
  <si>
    <t>$/sqft/month</t>
  </si>
  <si>
    <t>Power</t>
  </si>
  <si>
    <t>Space</t>
  </si>
  <si>
    <t>Typical Price/Unit</t>
  </si>
  <si>
    <t>$120-180</t>
  </si>
  <si>
    <t>$2-4</t>
  </si>
  <si>
    <t>30,000 kW</t>
  </si>
  <si>
    <t>150,000-250,000 sqft</t>
  </si>
  <si>
    <t>Revenue Potential</t>
  </si>
  <si>
    <t>Asset Scale</t>
  </si>
  <si>
    <t>$20-30</t>
  </si>
  <si>
    <t>Revenue Density ($/sqft)*</t>
  </si>
  <si>
    <t>https://thundersaidenergy.com/downloads/data-centers-the-economics/</t>
  </si>
  <si>
    <t>Cost Component</t>
  </si>
  <si>
    <t>Land</t>
  </si>
  <si>
    <t>Building Shell</t>
  </si>
  <si>
    <t>Electrical Systems</t>
  </si>
  <si>
    <t>HVAC / Mechanical / Cooling</t>
  </si>
  <si>
    <t>Fire Suppression</t>
  </si>
  <si>
    <t>Building Fit-Out</t>
  </si>
  <si>
    <t>Total Development Costs</t>
  </si>
  <si>
    <t>Low Range</t>
  </si>
  <si>
    <t>High Range</t>
  </si>
  <si>
    <t>https://www.linkedin.com/pulse/understanding-total-cost-ownership-tco-10-mw-ai-data-kp5oc/</t>
  </si>
  <si>
    <t>Data Center Type</t>
  </si>
  <si>
    <t>Air Cooled</t>
  </si>
  <si>
    <t>Immersion Cooled</t>
  </si>
  <si>
    <t>Energy</t>
  </si>
  <si>
    <t>Maintenance</t>
  </si>
  <si>
    <t>Data Center Opex by Cooling Mechanism Used</t>
  </si>
  <si>
    <t>New England</t>
  </si>
  <si>
    <t>Middle Atlantic</t>
  </si>
  <si>
    <t>East North Central</t>
  </si>
  <si>
    <t>West North Central</t>
  </si>
  <si>
    <t>South Atlantic</t>
  </si>
  <si>
    <t>East South Central</t>
  </si>
  <si>
    <t>West South Central</t>
  </si>
  <si>
    <t>Mountain</t>
  </si>
  <si>
    <t>Pacific Contiguous</t>
  </si>
  <si>
    <t>U.S. Total</t>
  </si>
  <si>
    <t>https://www.eia.gov/electricity/monthly/epm_table_grapher.php?t=epmt_5_6_a</t>
  </si>
  <si>
    <t>Region</t>
  </si>
  <si>
    <t>$/kWh</t>
  </si>
  <si>
    <t>Annual Energy Consumption by Data Center Size</t>
  </si>
  <si>
    <t>Data Center Size</t>
  </si>
  <si>
    <t>Annual Energy Consumption</t>
  </si>
  <si>
    <t>10 MW</t>
  </si>
  <si>
    <t>20 MW</t>
  </si>
  <si>
    <t>30 MW</t>
  </si>
  <si>
    <t>40 MW</t>
  </si>
  <si>
    <t>50 MW</t>
  </si>
  <si>
    <t>Low Cost Market</t>
  </si>
  <si>
    <t>Medium Cost Market</t>
  </si>
  <si>
    <t>High Cost Market</t>
  </si>
  <si>
    <t>Annual Energy Costs by Data Center Size</t>
  </si>
  <si>
    <t>$0.01/kWh Energy Price Increase</t>
  </si>
  <si>
    <t>https://emp.lbl.gov/queues</t>
  </si>
  <si>
    <t>Queued in Current Year</t>
  </si>
  <si>
    <t>Queued In Previous Year</t>
  </si>
  <si>
    <t>Year of IA</t>
  </si>
  <si>
    <t>p25</t>
  </si>
  <si>
    <t>Median</t>
  </si>
  <si>
    <t>Total Power Capacity (GW) in Interconnection Queue</t>
  </si>
  <si>
    <t>In-Service Year</t>
  </si>
  <si>
    <t>PJM</t>
  </si>
  <si>
    <t>NYISO</t>
  </si>
  <si>
    <t>SPP</t>
  </si>
  <si>
    <t>West</t>
  </si>
  <si>
    <t>CAISO</t>
  </si>
  <si>
    <t>ERCOT</t>
  </si>
  <si>
    <t>Row Labels</t>
  </si>
  <si>
    <t>Grand Total</t>
  </si>
  <si>
    <t>Total Time From Interconnection Request (IR) to Commercial Operations Date (COD)</t>
  </si>
  <si>
    <t>Low Cost</t>
  </si>
  <si>
    <t>Medium Cost</t>
  </si>
  <si>
    <t>High Cost</t>
  </si>
  <si>
    <t>Cumulative Opex (Low vs Med vs High Scenarios, 30MW Data Center)</t>
  </si>
  <si>
    <t>Criteria</t>
  </si>
  <si>
    <t>Weight</t>
  </si>
  <si>
    <t>Importance</t>
  </si>
  <si>
    <t>Power Availability</t>
  </si>
  <si>
    <t>Land Availability</t>
  </si>
  <si>
    <t>Market Size</t>
  </si>
  <si>
    <t>Capacity Under Construction</t>
  </si>
  <si>
    <t>Planned Capacity</t>
  </si>
  <si>
    <t>Land Price</t>
  </si>
  <si>
    <t>Fiber Connectivity</t>
  </si>
  <si>
    <t>Vacancy &amp; Absorption</t>
  </si>
  <si>
    <t>Regulations &amp; Incentives</t>
  </si>
  <si>
    <t>Power Cost</t>
  </si>
  <si>
    <t>Cloud Availability</t>
  </si>
  <si>
    <t>Renewable Power Options</t>
  </si>
  <si>
    <t>Environmental Risk</t>
  </si>
  <si>
    <t>Taxes</t>
  </si>
  <si>
    <t>Water Availability</t>
  </si>
  <si>
    <t>Political Stability</t>
  </si>
  <si>
    <t>High</t>
  </si>
  <si>
    <t>Medium</t>
  </si>
  <si>
    <t>Low</t>
  </si>
  <si>
    <t>https://www.cushmanwakefield.com/en/insights/global-data-center-market-comparison#key%20evaluation%20metrics</t>
  </si>
  <si>
    <t>Criteria of Market Selection for Data Center Investment, Ranked</t>
  </si>
  <si>
    <t>Average # of Months</t>
  </si>
  <si>
    <r>
      <t>Figure 2</t>
    </r>
    <r>
      <rPr>
        <i/>
        <sz val="12"/>
        <color rgb="FF023047"/>
        <rFont val="Aptos"/>
        <family val="2"/>
      </rPr>
      <t xml:space="preserve"> - Data Center Load Growth Forecast, Low and High Scenarios (TWh)</t>
    </r>
  </si>
  <si>
    <r>
      <t>Figure 1</t>
    </r>
    <r>
      <rPr>
        <i/>
        <sz val="12"/>
        <color rgb="FF023047"/>
        <rFont val="Aptos"/>
        <family val="2"/>
      </rPr>
      <t xml:space="preserve"> - Data Center Market Size Forecast (2025-2034)</t>
    </r>
  </si>
  <si>
    <r>
      <t>Figure 3</t>
    </r>
    <r>
      <rPr>
        <i/>
        <sz val="12"/>
        <color rgb="FF023047"/>
        <rFont val="Aptos"/>
        <family val="2"/>
      </rPr>
      <t xml:space="preserve"> - Data Center vs Traditional Real Estate Revenue Model</t>
    </r>
  </si>
  <si>
    <r>
      <t>Figure 4</t>
    </r>
    <r>
      <rPr>
        <i/>
        <sz val="12"/>
        <color rgb="FF023047"/>
        <rFont val="Aptos"/>
        <family val="2"/>
      </rPr>
      <t xml:space="preserve"> - Data Center Capex and Cash Flow Model</t>
    </r>
  </si>
  <si>
    <r>
      <t>Figure 5</t>
    </r>
    <r>
      <rPr>
        <i/>
        <sz val="12"/>
        <color rgb="FF023047"/>
        <rFont val="Aptos"/>
        <family val="2"/>
      </rPr>
      <t xml:space="preserve"> - Data Center Capex by Equipment Type</t>
    </r>
  </si>
  <si>
    <r>
      <t xml:space="preserve">Figure 6 </t>
    </r>
    <r>
      <rPr>
        <i/>
        <sz val="12"/>
        <color rgb="FF023047"/>
        <rFont val="Aptos"/>
        <family val="2"/>
      </rPr>
      <t>- Data Center Opex by Cooling Mechanism Used</t>
    </r>
  </si>
  <si>
    <r>
      <t xml:space="preserve">Figure 7 </t>
    </r>
    <r>
      <rPr>
        <i/>
        <sz val="12"/>
        <color rgb="FF023047"/>
        <rFont val="Aptos"/>
        <family val="2"/>
      </rPr>
      <t>- Electric System Operator Territories in the United States</t>
    </r>
  </si>
  <si>
    <r>
      <t>Figure 8</t>
    </r>
    <r>
      <rPr>
        <i/>
        <sz val="12"/>
        <color rgb="FF023047"/>
        <rFont val="Aptos"/>
        <family val="2"/>
      </rPr>
      <t xml:space="preserve"> - Industrial Electricity Rates by Region ($/kWh)</t>
    </r>
  </si>
  <si>
    <r>
      <t>Figure 9</t>
    </r>
    <r>
      <rPr>
        <i/>
        <sz val="12"/>
        <color rgb="FF023047"/>
        <rFont val="Aptos"/>
        <family val="2"/>
      </rPr>
      <t xml:space="preserve"> - Annual Energy Consumption by Data Center Size (GWh)</t>
    </r>
  </si>
  <si>
    <r>
      <t>Figure 10</t>
    </r>
    <r>
      <rPr>
        <i/>
        <sz val="12"/>
        <color rgb="FF023047"/>
        <rFont val="Aptos"/>
        <family val="2"/>
      </rPr>
      <t xml:space="preserve"> - Annual Energy Costs by Data Center Size ($M)</t>
    </r>
  </si>
  <si>
    <r>
      <t>Figure 11</t>
    </r>
    <r>
      <rPr>
        <i/>
        <sz val="12"/>
        <color rgb="FF023047"/>
        <rFont val="Aptos"/>
        <family val="2"/>
      </rPr>
      <t xml:space="preserve"> - Annual Energy Costs Increase From a $0.01/kWh Price Increase</t>
    </r>
  </si>
  <si>
    <r>
      <t xml:space="preserve">Figure 12 </t>
    </r>
    <r>
      <rPr>
        <i/>
        <sz val="12"/>
        <color rgb="FF023047"/>
        <rFont val="Aptos"/>
        <family val="2"/>
      </rPr>
      <t>- Total Power Capacity (GW) in Interconnection Queues</t>
    </r>
  </si>
  <si>
    <r>
      <t xml:space="preserve">Figure 13 </t>
    </r>
    <r>
      <rPr>
        <i/>
        <sz val="11"/>
        <color rgb="FF023047"/>
        <rFont val="Aptos"/>
        <family val="2"/>
      </rPr>
      <t>- Total Time Between Interconnection Request (IR) and Agreement (IA)</t>
    </r>
  </si>
  <si>
    <r>
      <t>Figure 14</t>
    </r>
    <r>
      <rPr>
        <i/>
        <sz val="11"/>
        <color rgb="FF023047"/>
        <rFont val="Aptos"/>
        <family val="2"/>
      </rPr>
      <t xml:space="preserve"> - Average Time From Interconnection Request (IR) to Commercial Operations Date (COD)</t>
    </r>
  </si>
  <si>
    <r>
      <t xml:space="preserve">Figure 15 </t>
    </r>
    <r>
      <rPr>
        <i/>
        <sz val="12"/>
        <color rgb="FF023047"/>
        <rFont val="Aptos"/>
        <family val="2"/>
      </rPr>
      <t>- Cumulative Opex (Low vs Med vs High Scenarios, 30MW Data Center)</t>
    </r>
  </si>
  <si>
    <r>
      <t xml:space="preserve">Figure 16 </t>
    </r>
    <r>
      <rPr>
        <i/>
        <sz val="12"/>
        <color rgb="FF023047"/>
        <rFont val="Aptos"/>
        <family val="2"/>
      </rPr>
      <t>- Criteria of Market Selection for Data Center Investment, Ranked</t>
    </r>
  </si>
  <si>
    <t>Graphics Used in Report</t>
  </si>
  <si>
    <t>Tables Used in Report</t>
  </si>
  <si>
    <t>INPUTS</t>
  </si>
  <si>
    <t>https://escholarship.org/uc/item/32d6m0d1</t>
  </si>
  <si>
    <t>https://dgtlinfra.com/how-much-does-it-cost-to-build-a-data-center/</t>
  </si>
  <si>
    <t>Data Center Capex Components</t>
  </si>
  <si>
    <t>Data Center Capex by Equipment Type</t>
  </si>
  <si>
    <t>Industrial Electricity Rates by Region ($/kWh)</t>
  </si>
  <si>
    <t>https://www.eia.gov/electricity/monthly/update/wholesale-markets.php</t>
  </si>
  <si>
    <t>Annual Energy Costs Increase From a $0.01/kWh Price Increase</t>
  </si>
  <si>
    <t>Costs by Market Size</t>
  </si>
  <si>
    <t>Median # of Months</t>
  </si>
  <si>
    <t>Median Time Between Interconnection Request (IR) and Agreement (IA)</t>
  </si>
  <si>
    <t>Raw Data Table</t>
  </si>
  <si>
    <t/>
  </si>
  <si>
    <t>Average Months per Region</t>
  </si>
  <si>
    <t>Pivot Summary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</si>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</sst>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6" formatCode="0.0"/>
    <numFmt numFmtId="169" formatCode="&quot;$&quot;#,##0.00"/>
    <numFmt numFmtId="171" formatCode="&quot;$&quot;#,##0"/>
    <numFmt numFmtId="176" formatCode="0.0%"/>
    <numFmt numFmtId="177" formatCode="&quot;$&quot;#,##0.000"/>
  </numFmts>
  <fonts count="10" x14ac:knownFonts="1">
    <font>
      <sz val="11"/>
      <color theme="1"/>
      <name val="IBM Plex Sans"/>
      <family val="2"/>
      <scheme val="minor"/>
    </font>
    <font>
      <sz val="11"/>
      <color theme="1"/>
      <name val="IBM Plex Sans"/>
      <family val="2"/>
      <scheme val="minor"/>
    </font>
    <font>
      <b/>
      <sz val="11"/>
      <color theme="1"/>
      <name val="IBM Plex Sans"/>
      <family val="2"/>
      <scheme val="minor"/>
    </font>
    <font>
      <sz val="11"/>
      <name val="IBM Plex Sans"/>
      <family val="2"/>
      <scheme val="minor"/>
    </font>
    <font>
      <b/>
      <sz val="11"/>
      <color theme="1"/>
      <name val="IBM Plex Sans"/>
      <scheme val="minor"/>
    </font>
    <font>
      <b/>
      <i/>
      <sz val="12"/>
      <color rgb="FF023047"/>
      <name val="Aptos"/>
      <family val="2"/>
    </font>
    <font>
      <i/>
      <sz val="12"/>
      <color rgb="FF023047"/>
      <name val="Aptos"/>
      <family val="2"/>
    </font>
    <font>
      <b/>
      <i/>
      <sz val="11"/>
      <color rgb="FF023047"/>
      <name val="Aptos"/>
      <family val="2"/>
    </font>
    <font>
      <i/>
      <sz val="11"/>
      <color rgb="FF023047"/>
      <name val="Aptos"/>
      <family val="2"/>
    </font>
    <font>
      <b/>
      <sz val="11"/>
      <color rgb="FF023047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/>
        <bgColor theme="4" tint="0.79998168889431442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2" borderId="10" xfId="0" applyFont="1" applyFill="1" applyBorder="1"/>
    <xf numFmtId="0" fontId="4" fillId="0" borderId="0" xfId="0" applyFont="1"/>
    <xf numFmtId="0" fontId="4" fillId="2" borderId="9" xfId="0" applyFont="1" applyFill="1" applyBorder="1"/>
    <xf numFmtId="166" fontId="0" fillId="0" borderId="0" xfId="0" applyNumberFormat="1"/>
    <xf numFmtId="0" fontId="0" fillId="0" borderId="1" xfId="0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0" fillId="3" borderId="17" xfId="0" applyFill="1" applyBorder="1"/>
    <xf numFmtId="0" fontId="0" fillId="0" borderId="18" xfId="0" applyBorder="1"/>
    <xf numFmtId="3" fontId="0" fillId="0" borderId="1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4" xfId="0" applyFont="1" applyFill="1" applyBorder="1"/>
    <xf numFmtId="171" fontId="0" fillId="0" borderId="1" xfId="0" applyNumberFormat="1" applyBorder="1" applyAlignment="1">
      <alignment horizontal="center"/>
    </xf>
    <xf numFmtId="171" fontId="0" fillId="0" borderId="6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66" fontId="0" fillId="0" borderId="20" xfId="0" applyNumberFormat="1" applyBorder="1"/>
    <xf numFmtId="166" fontId="0" fillId="0" borderId="25" xfId="0" applyNumberFormat="1" applyBorder="1"/>
    <xf numFmtId="0" fontId="2" fillId="0" borderId="26" xfId="0" applyFont="1" applyBorder="1" applyAlignment="1"/>
    <xf numFmtId="0" fontId="2" fillId="2" borderId="9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2" borderId="23" xfId="0" applyFont="1" applyFill="1" applyBorder="1" applyAlignment="1">
      <alignment horizontal="center"/>
    </xf>
    <xf numFmtId="0" fontId="0" fillId="4" borderId="0" xfId="0" applyFill="1"/>
    <xf numFmtId="0" fontId="2" fillId="4" borderId="0" xfId="0" applyFont="1" applyFill="1"/>
    <xf numFmtId="166" fontId="0" fillId="0" borderId="4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6" fontId="0" fillId="0" borderId="2" xfId="1" applyNumberFormat="1" applyFont="1" applyBorder="1" applyAlignment="1">
      <alignment horizontal="center"/>
    </xf>
    <xf numFmtId="6" fontId="0" fillId="0" borderId="1" xfId="0" applyNumberFormat="1" applyBorder="1" applyAlignment="1">
      <alignment horizontal="center"/>
    </xf>
    <xf numFmtId="6" fontId="0" fillId="0" borderId="6" xfId="0" applyNumberFormat="1" applyBorder="1" applyAlignment="1">
      <alignment horizontal="center"/>
    </xf>
    <xf numFmtId="6" fontId="0" fillId="0" borderId="12" xfId="0" applyNumberFormat="1" applyBorder="1" applyAlignment="1">
      <alignment horizontal="center"/>
    </xf>
    <xf numFmtId="6" fontId="0" fillId="0" borderId="8" xfId="0" applyNumberFormat="1" applyBorder="1" applyAlignment="1">
      <alignment horizontal="center"/>
    </xf>
    <xf numFmtId="6" fontId="0" fillId="0" borderId="14" xfId="0" applyNumberFormat="1" applyBorder="1" applyAlignment="1">
      <alignment horizontal="center"/>
    </xf>
    <xf numFmtId="6" fontId="0" fillId="0" borderId="15" xfId="0" applyNumberFormat="1" applyBorder="1" applyAlignment="1">
      <alignment horizontal="center"/>
    </xf>
    <xf numFmtId="169" fontId="0" fillId="0" borderId="11" xfId="0" applyNumberFormat="1" applyBorder="1" applyAlignment="1">
      <alignment horizontal="center"/>
    </xf>
    <xf numFmtId="169" fontId="0" fillId="0" borderId="4" xfId="0" applyNumberFormat="1" applyBorder="1" applyAlignment="1">
      <alignment horizontal="center"/>
    </xf>
    <xf numFmtId="169" fontId="0" fillId="0" borderId="12" xfId="0" applyNumberFormat="1" applyBorder="1" applyAlignment="1">
      <alignment horizontal="center"/>
    </xf>
    <xf numFmtId="169" fontId="0" fillId="0" borderId="8" xfId="0" applyNumberFormat="1" applyBorder="1" applyAlignment="1">
      <alignment horizontal="center"/>
    </xf>
    <xf numFmtId="177" fontId="0" fillId="0" borderId="15" xfId="0" applyNumberFormat="1" applyBorder="1" applyAlignment="1">
      <alignment horizontal="center"/>
    </xf>
    <xf numFmtId="177" fontId="0" fillId="0" borderId="6" xfId="0" applyNumberFormat="1" applyBorder="1" applyAlignment="1">
      <alignment horizontal="center"/>
    </xf>
    <xf numFmtId="177" fontId="0" fillId="0" borderId="8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177" fontId="0" fillId="0" borderId="27" xfId="0" applyNumberFormat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177" fontId="0" fillId="0" borderId="28" xfId="0" applyNumberFormat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177" fontId="0" fillId="0" borderId="29" xfId="0" applyNumberFormat="1" applyBorder="1" applyAlignment="1">
      <alignment horizontal="center"/>
    </xf>
    <xf numFmtId="171" fontId="0" fillId="0" borderId="11" xfId="0" applyNumberFormat="1" applyBorder="1" applyAlignment="1">
      <alignment horizontal="center"/>
    </xf>
    <xf numFmtId="171" fontId="0" fillId="0" borderId="4" xfId="0" applyNumberFormat="1" applyBorder="1" applyAlignment="1">
      <alignment horizontal="center"/>
    </xf>
    <xf numFmtId="171" fontId="0" fillId="0" borderId="12" xfId="0" applyNumberFormat="1" applyBorder="1" applyAlignment="1">
      <alignment horizontal="center"/>
    </xf>
    <xf numFmtId="171" fontId="0" fillId="0" borderId="8" xfId="0" applyNumberFormat="1" applyBorder="1" applyAlignment="1">
      <alignment horizontal="center"/>
    </xf>
    <xf numFmtId="171" fontId="0" fillId="0" borderId="15" xfId="0" applyNumberFormat="1" applyBorder="1" applyAlignment="1">
      <alignment horizontal="center"/>
    </xf>
    <xf numFmtId="166" fontId="0" fillId="4" borderId="0" xfId="0" applyNumberFormat="1" applyFill="1"/>
    <xf numFmtId="166" fontId="0" fillId="0" borderId="1" xfId="0" applyNumberFormat="1" applyBorder="1" applyAlignment="1">
      <alignment horizontal="center"/>
    </xf>
    <xf numFmtId="0" fontId="9" fillId="0" borderId="0" xfId="0" applyFont="1"/>
    <xf numFmtId="166" fontId="0" fillId="0" borderId="11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0" fillId="0" borderId="0" xfId="0" applyFill="1" applyBorder="1"/>
    <xf numFmtId="0" fontId="0" fillId="2" borderId="0" xfId="0" applyFill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166" fontId="0" fillId="0" borderId="34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3" fillId="2" borderId="36" xfId="0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171" fontId="0" fillId="0" borderId="27" xfId="0" applyNumberFormat="1" applyBorder="1" applyAlignment="1">
      <alignment horizontal="center"/>
    </xf>
    <xf numFmtId="171" fontId="0" fillId="0" borderId="28" xfId="0" applyNumberFormat="1" applyBorder="1" applyAlignment="1">
      <alignment horizontal="center"/>
    </xf>
    <xf numFmtId="171" fontId="0" fillId="0" borderId="29" xfId="0" applyNumberForma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 applyAlignment="1">
      <alignment horizontal="left"/>
    </xf>
  </cellXfs>
  <cellStyles count="2">
    <cellStyle name="Normal" xfId="0" builtinId="0"/>
    <cellStyle name="Percent" xfId="1" builtinId="5"/>
  </cellStyles>
  <dxfs count="76">
    <dxf>
      <numFmt numFmtId="166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>
          <bgColor auto="1"/>
        </patternFill>
      </fill>
    </dxf>
    <dxf>
      <fill>
        <patternFill patternType="solid">
          <bgColor theme="4"/>
        </patternFill>
      </fill>
    </dxf>
    <dxf>
      <fill>
        <patternFill>
          <bgColor auto="1"/>
        </patternFill>
      </fill>
    </dxf>
    <dxf>
      <fill>
        <patternFill patternType="solid">
          <bgColor theme="4"/>
        </patternFill>
      </fill>
    </dxf>
    <dxf>
      <fill>
        <patternFill>
          <bgColor auto="1"/>
        </patternFill>
      </fill>
    </dxf>
    <dxf>
      <fill>
        <patternFill patternType="solid">
          <bgColor theme="4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IBM Plex Sans"/>
        <family val="2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1'!$K$21</c:f>
              <c:strCache>
                <c:ptCount val="1"/>
                <c:pt idx="0">
                  <c:v>Market Size ($B)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A0-47BD-A28E-092E5072907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A0-47BD-A28E-092E5072907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A0-47BD-A28E-092E5072907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A0-47BD-A28E-092E5072907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A0-47BD-A28E-092E5072907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A0-47BD-A28E-092E5072907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A0-47BD-A28E-092E5072907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A0-47BD-A28E-092E5072907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$698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80A0-47BD-A28E-092E50729074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1'!$J$22:$J$31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'Figure 1'!$K$22:$K$31</c:f>
              <c:numCache>
                <c:formatCode>0</c:formatCode>
                <c:ptCount val="10"/>
                <c:pt idx="0">
                  <c:v>269.79000000000002</c:v>
                </c:pt>
                <c:pt idx="1">
                  <c:v>300.64</c:v>
                </c:pt>
                <c:pt idx="2">
                  <c:v>334.01103999999998</c:v>
                </c:pt>
                <c:pt idx="3">
                  <c:v>371.08626543999998</c:v>
                </c:pt>
                <c:pt idx="4">
                  <c:v>412.27684090383997</c:v>
                </c:pt>
                <c:pt idx="5">
                  <c:v>458.03957024416621</c:v>
                </c:pt>
                <c:pt idx="6">
                  <c:v>508.88196254126865</c:v>
                </c:pt>
                <c:pt idx="7">
                  <c:v>565.36786038334947</c:v>
                </c:pt>
                <c:pt idx="8">
                  <c:v>628.12369288590128</c:v>
                </c:pt>
                <c:pt idx="9">
                  <c:v>697.84542279623633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80A0-47BD-A28E-092E507290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33562111"/>
        <c:axId val="1733560191"/>
      </c:lineChart>
      <c:catAx>
        <c:axId val="173356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733560191"/>
        <c:crosses val="autoZero"/>
        <c:auto val="1"/>
        <c:lblAlgn val="ctr"/>
        <c:lblOffset val="100"/>
        <c:noMultiLvlLbl val="0"/>
      </c:catAx>
      <c:valAx>
        <c:axId val="173356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Market Size ($B)</a:t>
                </a:r>
              </a:p>
            </c:rich>
          </c:tx>
          <c:layout>
            <c:manualLayout>
              <c:xMode val="edge"/>
              <c:yMode val="edge"/>
              <c:x val="1.7094017094017096E-2"/>
              <c:y val="0.283881233595800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733562111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'Figures 12, 13 and 14'!$K$23</c:f>
              <c:strCache>
                <c:ptCount val="1"/>
                <c:pt idx="0">
                  <c:v>Median # of Months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3047"/>
                      </a:solidFill>
                      <a:latin typeface="IBM Plex Sans" panose="020B05030502030002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54C-4320-83FE-7827E282205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4C-4320-83FE-7827E282205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4C-4320-83FE-7827E282205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4C-4320-83FE-7827E282205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4C-4320-83FE-7827E282205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4C-4320-83FE-7827E282205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4C-4320-83FE-7827E282205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4C-4320-83FE-7827E282205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4C-4320-83FE-7827E2822051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3047"/>
                      </a:solidFill>
                      <a:latin typeface="IBM Plex Sans" panose="020B05030502030002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54C-4320-83FE-7827E28220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'Figures 12, 13 and 14'!$J$24:$J$47</c15:sqref>
                  </c15:fullRef>
                </c:ext>
              </c:extLst>
              <c:f>'Figures 12, 13 and 14'!$J$38:$J$47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'Figures 12, 13 and 14'!$K$24:$K$47</c15:sqref>
                  </c15:fullRef>
                </c:ext>
              </c:extLst>
              <c:f>'Figures 12, 13 and 14'!$K$38:$K$47</c:f>
              <c:numCache>
                <c:formatCode>0.0</c:formatCode>
                <c:ptCount val="10"/>
                <c:pt idx="0">
                  <c:v>20.137976346911959</c:v>
                </c:pt>
                <c:pt idx="1">
                  <c:v>19.513797634691191</c:v>
                </c:pt>
                <c:pt idx="2">
                  <c:v>19.8915900131406</c:v>
                </c:pt>
                <c:pt idx="3">
                  <c:v>25.229960578186599</c:v>
                </c:pt>
                <c:pt idx="4">
                  <c:v>27.5131406044678</c:v>
                </c:pt>
                <c:pt idx="5">
                  <c:v>31.406044678055189</c:v>
                </c:pt>
                <c:pt idx="6">
                  <c:v>32.999342969776613</c:v>
                </c:pt>
                <c:pt idx="7">
                  <c:v>32.046649145860712</c:v>
                </c:pt>
                <c:pt idx="8">
                  <c:v>36.333771353482263</c:v>
                </c:pt>
                <c:pt idx="9">
                  <c:v>34.888304862023652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754C-4320-83FE-7827E282205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42558207"/>
        <c:axId val="2042556767"/>
      </c:lineChart>
      <c:catAx>
        <c:axId val="204255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2042556767"/>
        <c:crosses val="autoZero"/>
        <c:auto val="1"/>
        <c:lblAlgn val="ctr"/>
        <c:lblOffset val="100"/>
        <c:noMultiLvlLbl val="0"/>
      </c:catAx>
      <c:valAx>
        <c:axId val="204255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# of Months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2042558207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'Figures 12, 13 and 14'!$T$22</c:f>
              <c:strCache>
                <c:ptCount val="1"/>
                <c:pt idx="0">
                  <c:v>Average # of Months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12, 13 and 14'!$S$23:$S$28</c:f>
              <c:strCache>
                <c:ptCount val="6"/>
                <c:pt idx="0">
                  <c:v>West</c:v>
                </c:pt>
                <c:pt idx="1">
                  <c:v>ERCOT</c:v>
                </c:pt>
                <c:pt idx="2">
                  <c:v>PJM</c:v>
                </c:pt>
                <c:pt idx="3">
                  <c:v>SPP</c:v>
                </c:pt>
                <c:pt idx="4">
                  <c:v>NYISO</c:v>
                </c:pt>
                <c:pt idx="5">
                  <c:v>CAISO</c:v>
                </c:pt>
              </c:strCache>
            </c:strRef>
          </c:cat>
          <c:val>
            <c:numRef>
              <c:f>'Figures 12, 13 and 14'!$T$23:$T$28</c:f>
              <c:numCache>
                <c:formatCode>0.0</c:formatCode>
                <c:ptCount val="6"/>
                <c:pt idx="0">
                  <c:v>24.906373193166885</c:v>
                </c:pt>
                <c:pt idx="1">
                  <c:v>43.469119579500656</c:v>
                </c:pt>
                <c:pt idx="2">
                  <c:v>44.103153745072277</c:v>
                </c:pt>
                <c:pt idx="3">
                  <c:v>54.633705650459923</c:v>
                </c:pt>
                <c:pt idx="4">
                  <c:v>60.500985545335084</c:v>
                </c:pt>
                <c:pt idx="5">
                  <c:v>74.453022339027584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B2-4C7F-A680-554AC06006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28375471"/>
        <c:axId val="1728375951"/>
      </c:barChart>
      <c:catAx>
        <c:axId val="17283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728375951"/>
        <c:crosses val="autoZero"/>
        <c:auto val="1"/>
        <c:lblAlgn val="ctr"/>
        <c:lblOffset val="100"/>
        <c:noMultiLvlLbl val="0"/>
      </c:catAx>
      <c:valAx>
        <c:axId val="1728375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#</a:t>
                </a:r>
                <a:r>
                  <a:rPr lang="en-US" b="1" baseline="0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 of Months</a:t>
                </a:r>
                <a:endParaRPr lang="en-US" b="1">
                  <a:solidFill>
                    <a:srgbClr val="023047"/>
                  </a:solidFill>
                  <a:latin typeface="IBM Plex Sans" panose="020B0503050203000203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728375471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3902012248469"/>
          <c:y val="5.3240740740740741E-2"/>
          <c:w val="0.84310552527087956"/>
          <c:h val="0.673998979294254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15'!$C$22</c:f>
              <c:strCache>
                <c:ptCount val="1"/>
                <c:pt idx="0">
                  <c:v>Low Cost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15'!$B$23:$B$32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'Figure 15'!$C$23:$C$32</c:f>
              <c:numCache>
                <c:formatCode>General</c:formatCode>
                <c:ptCount val="10"/>
                <c:pt idx="0">
                  <c:v>17003160</c:v>
                </c:pt>
                <c:pt idx="1">
                  <c:v>34006320</c:v>
                </c:pt>
                <c:pt idx="2">
                  <c:v>51009480</c:v>
                </c:pt>
                <c:pt idx="3">
                  <c:v>68012640</c:v>
                </c:pt>
                <c:pt idx="4">
                  <c:v>85015800</c:v>
                </c:pt>
                <c:pt idx="5">
                  <c:v>102018960</c:v>
                </c:pt>
                <c:pt idx="6">
                  <c:v>119022120</c:v>
                </c:pt>
                <c:pt idx="7">
                  <c:v>136025280</c:v>
                </c:pt>
                <c:pt idx="8">
                  <c:v>153028440</c:v>
                </c:pt>
                <c:pt idx="9">
                  <c:v>170031600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F-4B69-9B13-1B5FA57C4E2E}"/>
            </c:ext>
          </c:extLst>
        </c:ser>
        <c:ser>
          <c:idx val="1"/>
          <c:order val="1"/>
          <c:tx>
            <c:strRef>
              <c:f>'Figure 15'!$D$22</c:f>
              <c:strCache>
                <c:ptCount val="1"/>
                <c:pt idx="0">
                  <c:v>Medium Cost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15'!$B$23:$B$32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'Figure 15'!$D$23:$D$32</c:f>
              <c:numCache>
                <c:formatCode>General</c:formatCode>
                <c:ptCount val="10"/>
                <c:pt idx="0">
                  <c:v>22416839.999999996</c:v>
                </c:pt>
                <c:pt idx="1">
                  <c:v>44833679.999999993</c:v>
                </c:pt>
                <c:pt idx="2">
                  <c:v>67250519.999999985</c:v>
                </c:pt>
                <c:pt idx="3">
                  <c:v>89667359.999999985</c:v>
                </c:pt>
                <c:pt idx="4">
                  <c:v>112084199.99999999</c:v>
                </c:pt>
                <c:pt idx="5">
                  <c:v>134501039.99999997</c:v>
                </c:pt>
                <c:pt idx="6">
                  <c:v>156917879.99999997</c:v>
                </c:pt>
                <c:pt idx="7">
                  <c:v>179334719.99999997</c:v>
                </c:pt>
                <c:pt idx="8">
                  <c:v>201751559.99999997</c:v>
                </c:pt>
                <c:pt idx="9">
                  <c:v>224168399.99999997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2F-4B69-9B13-1B5FA57C4E2E}"/>
            </c:ext>
          </c:extLst>
        </c:ser>
        <c:ser>
          <c:idx val="2"/>
          <c:order val="2"/>
          <c:tx>
            <c:strRef>
              <c:f>'Figure 15'!$E$22</c:f>
              <c:strCache>
                <c:ptCount val="1"/>
                <c:pt idx="0">
                  <c:v>High Cost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'Figure 15'!$B$23:$B$32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'Figure 15'!$E$23:$E$32</c:f>
              <c:numCache>
                <c:formatCode>General</c:formatCode>
                <c:ptCount val="10"/>
                <c:pt idx="0">
                  <c:v>49380119.999999993</c:v>
                </c:pt>
                <c:pt idx="1">
                  <c:v>98760239.999999985</c:v>
                </c:pt>
                <c:pt idx="2">
                  <c:v>148140359.99999997</c:v>
                </c:pt>
                <c:pt idx="3">
                  <c:v>197520479.99999997</c:v>
                </c:pt>
                <c:pt idx="4">
                  <c:v>246900599.99999997</c:v>
                </c:pt>
                <c:pt idx="5">
                  <c:v>296280719.99999994</c:v>
                </c:pt>
                <c:pt idx="6">
                  <c:v>345660839.99999994</c:v>
                </c:pt>
                <c:pt idx="7">
                  <c:v>395040959.99999994</c:v>
                </c:pt>
                <c:pt idx="8">
                  <c:v>444421079.99999994</c:v>
                </c:pt>
                <c:pt idx="9">
                  <c:v>493801199.99999994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2F-4B69-9B13-1B5FA57C4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10623"/>
        <c:axId val="79210143"/>
      </c:barChart>
      <c:catAx>
        <c:axId val="792106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/>
                  <a:t>Year</a:t>
                </a:r>
              </a:p>
            </c:rich>
          </c:tx>
          <c:layout>
            <c:manualLayout>
              <c:xMode val="edge"/>
              <c:yMode val="edge"/>
              <c:x val="0.48610740965071675"/>
              <c:y val="0.81674540682414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79210143"/>
        <c:crosses val="autoZero"/>
        <c:auto val="1"/>
        <c:lblAlgn val="ctr"/>
        <c:lblOffset val="100"/>
        <c:noMultiLvlLbl val="0"/>
      </c:catAx>
      <c:valAx>
        <c:axId val="7921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Cumulative Energy Opex ($)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79210623"/>
        <c:crosses val="autoZero"/>
        <c:crossBetween val="between"/>
        <c:dispUnits>
          <c:builtInUnit val="millions"/>
        </c:dispUnits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1'!$K$21</c:f>
              <c:strCache>
                <c:ptCount val="1"/>
                <c:pt idx="0">
                  <c:v>Market Size ($B)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EB-40FB-A14E-98CCDA0CA4F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EB-40FB-A14E-98CCDA0CA4F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EB-40FB-A14E-98CCDA0CA4F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EB-40FB-A14E-98CCDA0CA4F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EB-40FB-A14E-98CCDA0CA4F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EB-40FB-A14E-98CCDA0CA4F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EB-40FB-A14E-98CCDA0CA4F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EB-40FB-A14E-98CCDA0CA4F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$698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A9EB-40FB-A14E-98CCDA0CA4F4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1'!$J$22:$J$31</c:f>
              <c:numCache>
                <c:formatCode>General</c:formatCode>
                <c:ptCount val="10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</c:v>
                </c:pt>
                <c:pt idx="6">
                  <c:v>2031</c:v>
                </c:pt>
                <c:pt idx="7">
                  <c:v>2032</c:v>
                </c:pt>
                <c:pt idx="8">
                  <c:v>2033</c:v>
                </c:pt>
                <c:pt idx="9">
                  <c:v>2034</c:v>
                </c:pt>
              </c:numCache>
            </c:numRef>
          </c:cat>
          <c:val>
            <c:numRef>
              <c:f>'Figure 1'!$K$22:$K$31</c:f>
              <c:numCache>
                <c:formatCode>0</c:formatCode>
                <c:ptCount val="10"/>
                <c:pt idx="0">
                  <c:v>269.79000000000002</c:v>
                </c:pt>
                <c:pt idx="1">
                  <c:v>300.64</c:v>
                </c:pt>
                <c:pt idx="2">
                  <c:v>334.01103999999998</c:v>
                </c:pt>
                <c:pt idx="3">
                  <c:v>371.08626543999998</c:v>
                </c:pt>
                <c:pt idx="4">
                  <c:v>412.27684090383997</c:v>
                </c:pt>
                <c:pt idx="5">
                  <c:v>458.03957024416621</c:v>
                </c:pt>
                <c:pt idx="6">
                  <c:v>508.88196254126865</c:v>
                </c:pt>
                <c:pt idx="7">
                  <c:v>565.36786038334947</c:v>
                </c:pt>
                <c:pt idx="8">
                  <c:v>628.12369288590128</c:v>
                </c:pt>
                <c:pt idx="9">
                  <c:v>697.84542279623633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9EB-40FB-A14E-98CCDA0CA4F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33562111"/>
        <c:axId val="1733560191"/>
      </c:lineChart>
      <c:catAx>
        <c:axId val="173356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733560191"/>
        <c:crosses val="autoZero"/>
        <c:auto val="1"/>
        <c:lblAlgn val="ctr"/>
        <c:lblOffset val="100"/>
        <c:noMultiLvlLbl val="0"/>
      </c:catAx>
      <c:valAx>
        <c:axId val="173356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Market Size ($)</a:t>
                </a:r>
              </a:p>
            </c:rich>
          </c:tx>
          <c:layout>
            <c:manualLayout>
              <c:xMode val="edge"/>
              <c:yMode val="edge"/>
              <c:x val="1.7094017094017096E-2"/>
              <c:y val="0.283881233595800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733562111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2'!$L$24</c:f>
              <c:strCache>
                <c:ptCount val="1"/>
                <c:pt idx="0">
                  <c:v>Low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3D5-4737-A922-C93535507AF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3D5-4737-A922-C93535507AF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3D5-4737-A922-C93535507AF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3D5-4737-A922-C93535507AF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D5-4737-A922-C93535507AF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D5-4737-A922-C93535507AF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D5-4737-A922-C93535507AF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D5-4737-A922-C93535507AF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3D5-4737-A922-C93535507AF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D5-4737-A922-C93535507AF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D5-4737-A922-C93535507AF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3D5-4737-A922-C93535507AF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3D5-4737-A922-C93535507AF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3D5-4737-A922-C93535507AFC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3047"/>
                      </a:solidFill>
                      <a:latin typeface="IBM Plex Sans" panose="020B05030502030002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43D5-4737-A922-C93535507A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'Figure 2'!$K$25:$K$40</c15:sqref>
                  </c15:fullRef>
                </c:ext>
              </c:extLst>
              <c:f>'Figure 2'!$K$25:$K$39</c:f>
              <c:numCache>
                <c:formatCode>General</c:formatCode>
                <c:ptCount val="1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2'!$L$25:$L$40</c15:sqref>
                  </c15:fullRef>
                </c:ext>
              </c:extLst>
              <c:f>'Figure 2'!$L$25:$L$39</c:f>
              <c:numCache>
                <c:formatCode>General</c:formatCode>
                <c:ptCount val="1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 formatCode="0">
                  <c:v>67.527772064536535</c:v>
                </c:pt>
                <c:pt idx="4">
                  <c:v>76</c:v>
                </c:pt>
                <c:pt idx="5" formatCode="0">
                  <c:v>89.898699134756882</c:v>
                </c:pt>
                <c:pt idx="6" formatCode="0">
                  <c:v>106.33915929107287</c:v>
                </c:pt>
                <c:pt idx="7" formatCode="0">
                  <c:v>125.78621167567299</c:v>
                </c:pt>
                <c:pt idx="8" formatCode="0">
                  <c:v>148.78969472016013</c:v>
                </c:pt>
                <c:pt idx="9">
                  <c:v>176</c:v>
                </c:pt>
                <c:pt idx="10" formatCode="0">
                  <c:v>198.96963646330209</c:v>
                </c:pt>
                <c:pt idx="11" formatCode="0">
                  <c:v>224.93702405874203</c:v>
                </c:pt>
                <c:pt idx="12" formatCode="0">
                  <c:v>254.29339718241442</c:v>
                </c:pt>
                <c:pt idx="13" formatCode="0">
                  <c:v>287.48104995683576</c:v>
                </c:pt>
                <c:pt idx="14">
                  <c:v>325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D5-4737-A922-C93535507AFC}"/>
            </c:ext>
          </c:extLst>
        </c:ser>
        <c:ser>
          <c:idx val="1"/>
          <c:order val="1"/>
          <c:tx>
            <c:strRef>
              <c:f>'Figure 2'!$M$24</c:f>
              <c:strCache>
                <c:ptCount val="1"/>
                <c:pt idx="0">
                  <c:v>High Scenario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3D5-4737-A922-C93535507AF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3D5-4737-A922-C93535507AF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3D5-4737-A922-C93535507AF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3D5-4737-A922-C93535507AF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3D5-4737-A922-C93535507AF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3D5-4737-A922-C93535507AF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D5-4737-A922-C93535507AF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3D5-4737-A922-C93535507AF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D5-4737-A922-C93535507AF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D5-4737-A922-C93535507AF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D5-4737-A922-C93535507AF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D5-4737-A922-C93535507AF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D5-4737-A922-C93535507AF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D5-4737-A922-C93535507A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'Figure 2'!$K$25:$K$40</c15:sqref>
                  </c15:fullRef>
                </c:ext>
              </c:extLst>
              <c:f>'Figure 2'!$K$25:$K$39</c:f>
              <c:numCache>
                <c:formatCode>General</c:formatCode>
                <c:ptCount val="1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2'!$M$25:$M$40</c15:sqref>
                  </c15:fullRef>
                </c:ext>
              </c:extLst>
              <c:f>'Figure 2'!$M$25:$M$39</c:f>
              <c:numCache>
                <c:formatCode>General</c:formatCode>
                <c:ptCount val="1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 formatCode="0">
                  <c:v>67.527772064536535</c:v>
                </c:pt>
                <c:pt idx="4">
                  <c:v>76</c:v>
                </c:pt>
                <c:pt idx="5" formatCode="0">
                  <c:v>89.898699134756882</c:v>
                </c:pt>
                <c:pt idx="6" formatCode="0">
                  <c:v>106.33915929107287</c:v>
                </c:pt>
                <c:pt idx="7" formatCode="0">
                  <c:v>125.78621167567299</c:v>
                </c:pt>
                <c:pt idx="8" formatCode="0">
                  <c:v>148.78969472016013</c:v>
                </c:pt>
                <c:pt idx="9">
                  <c:v>176</c:v>
                </c:pt>
                <c:pt idx="10" formatCode="0">
                  <c:v>223.40646307861334</c:v>
                </c:pt>
                <c:pt idx="11" formatCode="0">
                  <c:v>283.58208946190814</c:v>
                </c:pt>
                <c:pt idx="12" formatCode="0">
                  <c:v>359.96631590413529</c:v>
                </c:pt>
                <c:pt idx="13" formatCode="0">
                  <c:v>456.92500831580492</c:v>
                </c:pt>
                <c:pt idx="14">
                  <c:v>580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3D5-4737-A922-C93535507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9080191"/>
        <c:axId val="1869079711"/>
      </c:lineChart>
      <c:catAx>
        <c:axId val="186908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86907971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6907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Energy Consumption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869080191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191584225048797"/>
          <c:y val="0.10648148148148148"/>
          <c:w val="0.61280637997173426"/>
          <c:h val="0.713350831146106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5'!$C$24</c:f>
              <c:strCache>
                <c:ptCount val="1"/>
                <c:pt idx="0">
                  <c:v>Low Range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5'!$B$25:$B$31</c:f>
              <c:strCache>
                <c:ptCount val="7"/>
                <c:pt idx="0">
                  <c:v>Fire Suppression</c:v>
                </c:pt>
                <c:pt idx="1">
                  <c:v>Land</c:v>
                </c:pt>
                <c:pt idx="2">
                  <c:v>Building Shell</c:v>
                </c:pt>
                <c:pt idx="3">
                  <c:v>Building Fit-Out</c:v>
                </c:pt>
                <c:pt idx="4">
                  <c:v>HVAC / Mechanical / Cooling</c:v>
                </c:pt>
                <c:pt idx="5">
                  <c:v>Electrical Systems</c:v>
                </c:pt>
                <c:pt idx="6">
                  <c:v>Total Development Costs</c:v>
                </c:pt>
              </c:strCache>
            </c:strRef>
          </c:cat>
          <c:val>
            <c:numRef>
              <c:f>'Figure 5'!$C$25:$C$31</c:f>
              <c:numCache>
                <c:formatCode>"$"#,##0_);[Red]\("$"#,##0\)</c:formatCode>
                <c:ptCount val="7"/>
                <c:pt idx="0">
                  <c:v>15</c:v>
                </c:pt>
                <c:pt idx="1">
                  <c:v>25</c:v>
                </c:pt>
                <c:pt idx="2">
                  <c:v>80</c:v>
                </c:pt>
                <c:pt idx="3">
                  <c:v>100</c:v>
                </c:pt>
                <c:pt idx="4">
                  <c:v>125</c:v>
                </c:pt>
                <c:pt idx="5">
                  <c:v>280</c:v>
                </c:pt>
                <c:pt idx="6">
                  <c:v>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5-4885-A285-137D78F67A67}"/>
            </c:ext>
          </c:extLst>
        </c:ser>
        <c:ser>
          <c:idx val="1"/>
          <c:order val="1"/>
          <c:tx>
            <c:strRef>
              <c:f>'Figure 5'!$D$24</c:f>
              <c:strCache>
                <c:ptCount val="1"/>
                <c:pt idx="0">
                  <c:v>High Range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5'!$B$25:$B$31</c:f>
              <c:strCache>
                <c:ptCount val="7"/>
                <c:pt idx="0">
                  <c:v>Fire Suppression</c:v>
                </c:pt>
                <c:pt idx="1">
                  <c:v>Land</c:v>
                </c:pt>
                <c:pt idx="2">
                  <c:v>Building Shell</c:v>
                </c:pt>
                <c:pt idx="3">
                  <c:v>Building Fit-Out</c:v>
                </c:pt>
                <c:pt idx="4">
                  <c:v>HVAC / Mechanical / Cooling</c:v>
                </c:pt>
                <c:pt idx="5">
                  <c:v>Electrical Systems</c:v>
                </c:pt>
                <c:pt idx="6">
                  <c:v>Total Development Costs</c:v>
                </c:pt>
              </c:strCache>
            </c:strRef>
          </c:cat>
          <c:val>
            <c:numRef>
              <c:f>'Figure 5'!$D$25:$D$31</c:f>
              <c:numCache>
                <c:formatCode>"$"#,##0_);[Red]\("$"#,##0\)</c:formatCode>
                <c:ptCount val="7"/>
                <c:pt idx="0">
                  <c:v>25</c:v>
                </c:pt>
                <c:pt idx="1">
                  <c:v>75</c:v>
                </c:pt>
                <c:pt idx="2">
                  <c:v>160</c:v>
                </c:pt>
                <c:pt idx="3">
                  <c:v>200</c:v>
                </c:pt>
                <c:pt idx="4">
                  <c:v>215</c:v>
                </c:pt>
                <c:pt idx="5">
                  <c:v>460</c:v>
                </c:pt>
                <c:pt idx="6">
                  <c:v>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5-4885-A285-137D78F67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95996479"/>
        <c:axId val="1796002719"/>
      </c:barChart>
      <c:catAx>
        <c:axId val="17959964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796002719"/>
        <c:crosses val="autoZero"/>
        <c:auto val="1"/>
        <c:lblAlgn val="ctr"/>
        <c:lblOffset val="100"/>
        <c:noMultiLvlLbl val="0"/>
      </c:catAx>
      <c:valAx>
        <c:axId val="17960027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$/sqft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795996479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1.2828252237701057E-2"/>
          <c:y val="0.81674540682414698"/>
          <c:w val="0.18588195706305943"/>
          <c:h val="0.160106445027704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6'!$J$25</c:f>
              <c:strCache>
                <c:ptCount val="1"/>
                <c:pt idx="0">
                  <c:v>Air Cooled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6'!$K$24:$L$24</c:f>
              <c:strCache>
                <c:ptCount val="2"/>
                <c:pt idx="0">
                  <c:v>Energy</c:v>
                </c:pt>
                <c:pt idx="1">
                  <c:v>Maintenance</c:v>
                </c:pt>
              </c:strCache>
            </c:strRef>
          </c:cat>
          <c:val>
            <c:numRef>
              <c:f>'Figure 6'!$K$25:$L$25</c:f>
              <c:numCache>
                <c:formatCode>"$"#,##0.00</c:formatCode>
                <c:ptCount val="2"/>
                <c:pt idx="0">
                  <c:v>10.75</c:v>
                </c:pt>
                <c:pt idx="1">
                  <c:v>12.35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3-44E4-AF24-C07307271016}"/>
            </c:ext>
          </c:extLst>
        </c:ser>
        <c:ser>
          <c:idx val="1"/>
          <c:order val="1"/>
          <c:tx>
            <c:strRef>
              <c:f>'Figure 6'!$J$26</c:f>
              <c:strCache>
                <c:ptCount val="1"/>
                <c:pt idx="0">
                  <c:v>Immersion Cooled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6'!$K$24:$L$24</c:f>
              <c:strCache>
                <c:ptCount val="2"/>
                <c:pt idx="0">
                  <c:v>Energy</c:v>
                </c:pt>
                <c:pt idx="1">
                  <c:v>Maintenance</c:v>
                </c:pt>
              </c:strCache>
            </c:strRef>
          </c:cat>
          <c:val>
            <c:numRef>
              <c:f>'Figure 6'!$K$26:$L$26</c:f>
              <c:numCache>
                <c:formatCode>"$"#,##0.00</c:formatCode>
                <c:ptCount val="2"/>
                <c:pt idx="0">
                  <c:v>6.63</c:v>
                </c:pt>
                <c:pt idx="1">
                  <c:v>7.57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3-44E4-AF24-C073072710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6408991"/>
        <c:axId val="1686410431"/>
      </c:barChart>
      <c:catAx>
        <c:axId val="168640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686410431"/>
        <c:crosses val="autoZero"/>
        <c:auto val="1"/>
        <c:lblAlgn val="ctr"/>
        <c:lblOffset val="100"/>
        <c:noMultiLvlLbl val="0"/>
      </c:catAx>
      <c:valAx>
        <c:axId val="168641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Opex ($M)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686408991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8'!$C$23</c:f>
              <c:strCache>
                <c:ptCount val="1"/>
                <c:pt idx="0">
                  <c:v>$/kWh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ECA-454D-A986-A90DEDE2CE7D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CA-454D-A986-A90DEDE2CE7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CA-454D-A986-A90DEDE2CE7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CA-454D-A986-A90DEDE2CE7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CA-454D-A986-A90DEDE2CE7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ECA-454D-A986-A90DEDE2CE7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ECA-454D-A986-A90DEDE2CE7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CA-454D-A986-A90DEDE2CE7D}"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8'!$B$24:$B$33</c:f>
              <c:strCache>
                <c:ptCount val="10"/>
                <c:pt idx="0">
                  <c:v>West South Central</c:v>
                </c:pt>
                <c:pt idx="1">
                  <c:v>East South Central</c:v>
                </c:pt>
                <c:pt idx="2">
                  <c:v>Mountain</c:v>
                </c:pt>
                <c:pt idx="3">
                  <c:v>West North Central</c:v>
                </c:pt>
                <c:pt idx="4">
                  <c:v>South Atlantic</c:v>
                </c:pt>
                <c:pt idx="5">
                  <c:v>U.S. Total</c:v>
                </c:pt>
                <c:pt idx="6">
                  <c:v>East North Central</c:v>
                </c:pt>
                <c:pt idx="7">
                  <c:v>Middle Atlantic</c:v>
                </c:pt>
                <c:pt idx="8">
                  <c:v>Pacific Contiguous</c:v>
                </c:pt>
                <c:pt idx="9">
                  <c:v>New England</c:v>
                </c:pt>
              </c:strCache>
            </c:strRef>
          </c:cat>
          <c:val>
            <c:numRef>
              <c:f>'Figure 8'!$C$24:$C$33</c:f>
              <c:numCache>
                <c:formatCode>"$"#,##0.000</c:formatCode>
                <c:ptCount val="10"/>
                <c:pt idx="0">
                  <c:v>6.4699999999999994E-2</c:v>
                </c:pt>
                <c:pt idx="1">
                  <c:v>7.1300000000000002E-2</c:v>
                </c:pt>
                <c:pt idx="2">
                  <c:v>7.2099999999999997E-2</c:v>
                </c:pt>
                <c:pt idx="3">
                  <c:v>7.5499999999999998E-2</c:v>
                </c:pt>
                <c:pt idx="4">
                  <c:v>8.2500000000000004E-2</c:v>
                </c:pt>
                <c:pt idx="5">
                  <c:v>8.5299999999999987E-2</c:v>
                </c:pt>
                <c:pt idx="6">
                  <c:v>9.1899999999999996E-2</c:v>
                </c:pt>
                <c:pt idx="7">
                  <c:v>0.1074</c:v>
                </c:pt>
                <c:pt idx="8">
                  <c:v>0.14050000000000001</c:v>
                </c:pt>
                <c:pt idx="9">
                  <c:v>0.18789999999999998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A-454D-A986-A90DEDE2CE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74407775"/>
        <c:axId val="1974403935"/>
      </c:barChart>
      <c:catAx>
        <c:axId val="197440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974403935"/>
        <c:crosses val="autoZero"/>
        <c:auto val="1"/>
        <c:lblAlgn val="ctr"/>
        <c:lblOffset val="100"/>
        <c:noMultiLvlLbl val="0"/>
      </c:catAx>
      <c:valAx>
        <c:axId val="19744039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Industrial $/kWh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974407775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'Figures 9, 10, and 11'!$C$22</c:f>
              <c:strCache>
                <c:ptCount val="1"/>
                <c:pt idx="0">
                  <c:v>Annual Energy Consumption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9, 10, and 11'!$B$23:$B$27</c:f>
              <c:strCache>
                <c:ptCount val="5"/>
                <c:pt idx="0">
                  <c:v>10 MW</c:v>
                </c:pt>
                <c:pt idx="1">
                  <c:v>20 MW</c:v>
                </c:pt>
                <c:pt idx="2">
                  <c:v>30 MW</c:v>
                </c:pt>
                <c:pt idx="3">
                  <c:v>40 MW</c:v>
                </c:pt>
                <c:pt idx="4">
                  <c:v>50 MW</c:v>
                </c:pt>
              </c:strCache>
            </c:strRef>
          </c:cat>
          <c:val>
            <c:numRef>
              <c:f>'Figures 9, 10, and 11'!$C$23:$C$27</c:f>
              <c:numCache>
                <c:formatCode>#,##0</c:formatCode>
                <c:ptCount val="5"/>
                <c:pt idx="0">
                  <c:v>87600</c:v>
                </c:pt>
                <c:pt idx="1">
                  <c:v>175200</c:v>
                </c:pt>
                <c:pt idx="2">
                  <c:v>262800</c:v>
                </c:pt>
                <c:pt idx="3">
                  <c:v>350400</c:v>
                </c:pt>
                <c:pt idx="4">
                  <c:v>438000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AB-47BE-A505-46C5B06AC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2638367"/>
        <c:axId val="2042648927"/>
      </c:barChart>
      <c:catAx>
        <c:axId val="204263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2042648927"/>
        <c:crosses val="autoZero"/>
        <c:auto val="1"/>
        <c:lblAlgn val="ctr"/>
        <c:lblOffset val="100"/>
        <c:noMultiLvlLbl val="0"/>
      </c:catAx>
      <c:valAx>
        <c:axId val="204264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Annual Energy Consumption (GWh)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2042638367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'Figures 9, 10, and 11'!$K$22</c:f>
              <c:strCache>
                <c:ptCount val="1"/>
                <c:pt idx="0">
                  <c:v>Low Cost Market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'Figures 9, 10, and 11'!$I$23:$I$27</c:f>
              <c:strCache>
                <c:ptCount val="5"/>
                <c:pt idx="0">
                  <c:v>10 MW</c:v>
                </c:pt>
                <c:pt idx="1">
                  <c:v>20 MW</c:v>
                </c:pt>
                <c:pt idx="2">
                  <c:v>30 MW</c:v>
                </c:pt>
                <c:pt idx="3">
                  <c:v>40 MW</c:v>
                </c:pt>
                <c:pt idx="4">
                  <c:v>50 MW</c:v>
                </c:pt>
              </c:strCache>
            </c:strRef>
          </c:cat>
          <c:val>
            <c:numRef>
              <c:f>'Figures 9, 10, and 11'!$K$23:$K$27</c:f>
              <c:numCache>
                <c:formatCode>"$"#,##0</c:formatCode>
                <c:ptCount val="5"/>
                <c:pt idx="0">
                  <c:v>5667719.9999999991</c:v>
                </c:pt>
                <c:pt idx="1">
                  <c:v>11335439.999999998</c:v>
                </c:pt>
                <c:pt idx="2">
                  <c:v>17003160</c:v>
                </c:pt>
                <c:pt idx="3">
                  <c:v>22670879.999999996</c:v>
                </c:pt>
                <c:pt idx="4">
                  <c:v>28338600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A-41FA-8A9F-BAAB6406BB5A}"/>
            </c:ext>
          </c:extLst>
        </c:ser>
        <c:ser>
          <c:idx val="2"/>
          <c:order val="2"/>
          <c:tx>
            <c:strRef>
              <c:f>'Figures 9, 10, and 11'!$L$22</c:f>
              <c:strCache>
                <c:ptCount val="1"/>
                <c:pt idx="0">
                  <c:v>Medium Cost Market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'Figures 9, 10, and 11'!$I$23:$I$27</c:f>
              <c:strCache>
                <c:ptCount val="5"/>
                <c:pt idx="0">
                  <c:v>10 MW</c:v>
                </c:pt>
                <c:pt idx="1">
                  <c:v>20 MW</c:v>
                </c:pt>
                <c:pt idx="2">
                  <c:v>30 MW</c:v>
                </c:pt>
                <c:pt idx="3">
                  <c:v>40 MW</c:v>
                </c:pt>
                <c:pt idx="4">
                  <c:v>50 MW</c:v>
                </c:pt>
              </c:strCache>
            </c:strRef>
          </c:cat>
          <c:val>
            <c:numRef>
              <c:f>'Figures 9, 10, and 11'!$L$23:$L$27</c:f>
              <c:numCache>
                <c:formatCode>"$"#,##0</c:formatCode>
                <c:ptCount val="5"/>
                <c:pt idx="0">
                  <c:v>7472279.9999999991</c:v>
                </c:pt>
                <c:pt idx="1">
                  <c:v>14944559.999999998</c:v>
                </c:pt>
                <c:pt idx="2">
                  <c:v>22416839.999999996</c:v>
                </c:pt>
                <c:pt idx="3">
                  <c:v>29889119.999999996</c:v>
                </c:pt>
                <c:pt idx="4">
                  <c:v>37361399.999999993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AA-41FA-8A9F-BAAB6406BB5A}"/>
            </c:ext>
          </c:extLst>
        </c:ser>
        <c:ser>
          <c:idx val="3"/>
          <c:order val="3"/>
          <c:tx>
            <c:strRef>
              <c:f>'Figures 9, 10, and 11'!$M$22</c:f>
              <c:strCache>
                <c:ptCount val="1"/>
                <c:pt idx="0">
                  <c:v>High Cost Market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'Figures 9, 10, and 11'!$I$23:$I$27</c:f>
              <c:strCache>
                <c:ptCount val="5"/>
                <c:pt idx="0">
                  <c:v>10 MW</c:v>
                </c:pt>
                <c:pt idx="1">
                  <c:v>20 MW</c:v>
                </c:pt>
                <c:pt idx="2">
                  <c:v>30 MW</c:v>
                </c:pt>
                <c:pt idx="3">
                  <c:v>40 MW</c:v>
                </c:pt>
                <c:pt idx="4">
                  <c:v>50 MW</c:v>
                </c:pt>
              </c:strCache>
            </c:strRef>
          </c:cat>
          <c:val>
            <c:numRef>
              <c:f>'Figures 9, 10, and 11'!$M$23:$M$27</c:f>
              <c:numCache>
                <c:formatCode>"$"#,##0</c:formatCode>
                <c:ptCount val="5"/>
                <c:pt idx="0">
                  <c:v>16460039.999999998</c:v>
                </c:pt>
                <c:pt idx="1">
                  <c:v>32920079.999999996</c:v>
                </c:pt>
                <c:pt idx="2">
                  <c:v>49380119.999999993</c:v>
                </c:pt>
                <c:pt idx="3">
                  <c:v>65840159.999999993</c:v>
                </c:pt>
                <c:pt idx="4">
                  <c:v>82300200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AA-41FA-8A9F-BAAB6406B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3329215"/>
        <c:axId val="196333209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'Figures 9, 10, and 11'!$J$22</c15:sqref>
                        </c15:formulaRef>
                      </c:ext>
                    </c:extLst>
                    <c:strCache>
                      <c:ptCount val="1"/>
                      <c:pt idx="0">
                        <c:v>Annual Energy Consumption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'Figures 9, 10, and 11'!$I$23:$I$27</c15:sqref>
                        </c15:formulaRef>
                      </c:ext>
                    </c:extLst>
                    <c:strCache>
                      <c:ptCount val="5"/>
                      <c:pt idx="0">
                        <c:v>10 MW</c:v>
                      </c:pt>
                      <c:pt idx="1">
                        <c:v>20 MW</c:v>
                      </c:pt>
                      <c:pt idx="2">
                        <c:v>30 MW</c:v>
                      </c:pt>
                      <c:pt idx="3">
                        <c:v>40 MW</c:v>
                      </c:pt>
                      <c:pt idx="4">
                        <c:v>50 MW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'Figures 9, 10, and 11'!$J$23:$J$27</c15:sqref>
                        </c15:formulaRef>
                      </c:ext>
                    </c:extLst>
                    <c:numCache>
                      <c:formatCode>"$"#,##0</c:formatCode>
                      <c:ptCount val="5"/>
                      <c:pt idx="0">
                        <c:v>87600</c:v>
                      </c:pt>
                      <c:pt idx="1">
                        <c:v>175200</c:v>
                      </c:pt>
                      <c:pt idx="2">
                        <c:v>262800</c:v>
                      </c:pt>
                      <c:pt idx="3">
                        <c:v>350400</c:v>
                      </c:pt>
                      <c:pt idx="4">
                        <c:v>438000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FBAA-41FA-8A9F-BAAB6406BB5A}"/>
                  </c:ext>
                </c:extLst>
              </c15:ser>
            </c15:filteredBarSeries>
          </c:ext>
        </c:extLst>
      </c:barChart>
      <c:catAx>
        <c:axId val="19633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963332095"/>
        <c:crosses val="autoZero"/>
        <c:auto val="1"/>
        <c:lblAlgn val="ctr"/>
        <c:lblOffset val="100"/>
        <c:noMultiLvlLbl val="0"/>
      </c:catAx>
      <c:valAx>
        <c:axId val="1963332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Annual Energy Cost ($M)</a:t>
                </a:r>
              </a:p>
            </c:rich>
          </c:tx>
          <c:layout>
            <c:manualLayout>
              <c:xMode val="edge"/>
              <c:yMode val="edge"/>
              <c:x val="1.9230769230769232E-2"/>
              <c:y val="0.13084208223972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963329215"/>
        <c:crosses val="autoZero"/>
        <c:crossBetween val="between"/>
        <c:dispUnits>
          <c:builtInUnit val="millions"/>
        </c:dispUnits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2'!$L$24</c:f>
              <c:strCache>
                <c:ptCount val="1"/>
                <c:pt idx="0">
                  <c:v>Low Scenario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96-44D3-B542-7031BC2A6D3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96-44D3-B542-7031BC2A6D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96-44D3-B542-7031BC2A6D3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96-44D3-B542-7031BC2A6D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96-44D3-B542-7031BC2A6D3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96-44D3-B542-7031BC2A6D3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96-44D3-B542-7031BC2A6D3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96-44D3-B542-7031BC2A6D3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96-44D3-B542-7031BC2A6D3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96-44D3-B542-7031BC2A6D3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96-44D3-B542-7031BC2A6D3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96-44D3-B542-7031BC2A6D3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D96-44D3-B542-7031BC2A6D3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D96-44D3-B542-7031BC2A6D3B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3047"/>
                      </a:solidFill>
                      <a:latin typeface="IBM Plex Sans" panose="020B05030502030002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ED96-44D3-B542-7031BC2A6D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'Figure 2'!$K$25:$K$40</c15:sqref>
                  </c15:fullRef>
                </c:ext>
              </c:extLst>
              <c:f>'Figure 2'!$K$25:$K$39</c:f>
              <c:numCache>
                <c:formatCode>General</c:formatCode>
                <c:ptCount val="1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2'!$L$25:$L$40</c15:sqref>
                  </c15:fullRef>
                </c:ext>
              </c:extLst>
              <c:f>'Figure 2'!$L$25:$L$39</c:f>
              <c:numCache>
                <c:formatCode>General</c:formatCode>
                <c:ptCount val="1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 formatCode="0">
                  <c:v>67.527772064536535</c:v>
                </c:pt>
                <c:pt idx="4">
                  <c:v>76</c:v>
                </c:pt>
                <c:pt idx="5" formatCode="0">
                  <c:v>89.898699134756882</c:v>
                </c:pt>
                <c:pt idx="6" formatCode="0">
                  <c:v>106.33915929107287</c:v>
                </c:pt>
                <c:pt idx="7" formatCode="0">
                  <c:v>125.78621167567299</c:v>
                </c:pt>
                <c:pt idx="8" formatCode="0">
                  <c:v>148.78969472016013</c:v>
                </c:pt>
                <c:pt idx="9">
                  <c:v>176</c:v>
                </c:pt>
                <c:pt idx="10" formatCode="0">
                  <c:v>198.96963646330209</c:v>
                </c:pt>
                <c:pt idx="11" formatCode="0">
                  <c:v>224.93702405874203</c:v>
                </c:pt>
                <c:pt idx="12" formatCode="0">
                  <c:v>254.29339718241442</c:v>
                </c:pt>
                <c:pt idx="13" formatCode="0">
                  <c:v>287.48104995683576</c:v>
                </c:pt>
                <c:pt idx="14">
                  <c:v>325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ED96-44D3-B542-7031BC2A6D3B}"/>
            </c:ext>
          </c:extLst>
        </c:ser>
        <c:ser>
          <c:idx val="1"/>
          <c:order val="1"/>
          <c:tx>
            <c:strRef>
              <c:f>'Figure 2'!$M$24</c:f>
              <c:strCache>
                <c:ptCount val="1"/>
                <c:pt idx="0">
                  <c:v>High Scenario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D96-44D3-B542-7031BC2A6D3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D96-44D3-B542-7031BC2A6D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D96-44D3-B542-7031BC2A6D3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D96-44D3-B542-7031BC2A6D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D96-44D3-B542-7031BC2A6D3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D96-44D3-B542-7031BC2A6D3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D96-44D3-B542-7031BC2A6D3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D96-44D3-B542-7031BC2A6D3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D96-44D3-B542-7031BC2A6D3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D96-44D3-B542-7031BC2A6D3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D96-44D3-B542-7031BC2A6D3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D96-44D3-B542-7031BC2A6D3B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D96-44D3-B542-7031BC2A6D3B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D96-44D3-B542-7031BC2A6D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'Figure 2'!$K$25:$K$40</c15:sqref>
                  </c15:fullRef>
                </c:ext>
              </c:extLst>
              <c:f>'Figure 2'!$K$25:$K$39</c:f>
              <c:numCache>
                <c:formatCode>General</c:formatCode>
                <c:ptCount val="1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  <c:pt idx="13">
                  <c:v>2027</c:v>
                </c:pt>
                <c:pt idx="14">
                  <c:v>2028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2'!$M$25:$M$40</c15:sqref>
                  </c15:fullRef>
                </c:ext>
              </c:extLst>
              <c:f>'Figure 2'!$M$25:$M$39</c:f>
              <c:numCache>
                <c:formatCode>General</c:formatCode>
                <c:ptCount val="1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 formatCode="0">
                  <c:v>67.527772064536535</c:v>
                </c:pt>
                <c:pt idx="4">
                  <c:v>76</c:v>
                </c:pt>
                <c:pt idx="5" formatCode="0">
                  <c:v>89.898699134756882</c:v>
                </c:pt>
                <c:pt idx="6" formatCode="0">
                  <c:v>106.33915929107287</c:v>
                </c:pt>
                <c:pt idx="7" formatCode="0">
                  <c:v>125.78621167567299</c:v>
                </c:pt>
                <c:pt idx="8" formatCode="0">
                  <c:v>148.78969472016013</c:v>
                </c:pt>
                <c:pt idx="9">
                  <c:v>176</c:v>
                </c:pt>
                <c:pt idx="10" formatCode="0">
                  <c:v>223.40646307861334</c:v>
                </c:pt>
                <c:pt idx="11" formatCode="0">
                  <c:v>283.58208946190814</c:v>
                </c:pt>
                <c:pt idx="12" formatCode="0">
                  <c:v>359.96631590413529</c:v>
                </c:pt>
                <c:pt idx="13" formatCode="0">
                  <c:v>456.92500831580492</c:v>
                </c:pt>
                <c:pt idx="14">
                  <c:v>580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E-ED96-44D3-B542-7031BC2A6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69080191"/>
        <c:axId val="1869079711"/>
      </c:lineChart>
      <c:catAx>
        <c:axId val="186908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86907971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69079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Energy Consumption (TWh)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869080191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'Figures 9, 10, and 11'!$S$22</c:f>
              <c:strCache>
                <c:ptCount val="1"/>
                <c:pt idx="0">
                  <c:v>$0.01/kWh Energy Price Increase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D5ED6E8-80DE-43A9-A60F-7E04D4B9C22F}" type="VALUE">
                      <a:rPr lang="en-US"/>
                      <a:pPr/>
                      <a:t>[VALUE]</a:t>
                    </a:fld>
                    <a:r>
                      <a:rPr lang="en-US"/>
                      <a:t>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307-47E1-9362-2ECD89C95C9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D5FDEB4-7725-49FC-AE02-D096CAECB88F}" type="VALUE">
                      <a:rPr lang="en-US"/>
                      <a:pPr/>
                      <a:t>[VALUE]</a:t>
                    </a:fld>
                    <a:r>
                      <a:rPr lang="en-US"/>
                      <a:t>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307-47E1-9362-2ECD89C95C9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83C0B94-4D8C-4F70-8893-F0C1F778333C}" type="VALUE">
                      <a:rPr lang="en-US"/>
                      <a:pPr/>
                      <a:t>[VALUE]</a:t>
                    </a:fld>
                    <a:r>
                      <a:rPr lang="en-US"/>
                      <a:t>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307-47E1-9362-2ECD89C95C9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E8A86BE-2393-403E-8F2F-A908FCF3CE68}" type="VALUE">
                      <a:rPr lang="en-US"/>
                      <a:pPr/>
                      <a:t>[VALUE]</a:t>
                    </a:fld>
                    <a:r>
                      <a:rPr lang="en-US"/>
                      <a:t>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307-47E1-9362-2ECD89C95C9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B1228B0-F29B-4FC2-B116-9BDA72BDC198}" type="VALUE">
                      <a:rPr lang="en-US"/>
                      <a:pPr/>
                      <a:t>[VALUE]</a:t>
                    </a:fld>
                    <a:r>
                      <a:rPr lang="en-US"/>
                      <a:t>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2307-47E1-9362-2ECD89C95C92}"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9, 10, and 11'!$R$23:$R$27</c:f>
              <c:strCache>
                <c:ptCount val="5"/>
                <c:pt idx="0">
                  <c:v>10 MW</c:v>
                </c:pt>
                <c:pt idx="1">
                  <c:v>20 MW</c:v>
                </c:pt>
                <c:pt idx="2">
                  <c:v>30 MW</c:v>
                </c:pt>
                <c:pt idx="3">
                  <c:v>40 MW</c:v>
                </c:pt>
                <c:pt idx="4">
                  <c:v>50 MW</c:v>
                </c:pt>
              </c:strCache>
            </c:strRef>
          </c:cat>
          <c:val>
            <c:numRef>
              <c:f>'Figures 9, 10, and 11'!$S$23:$S$27</c:f>
              <c:numCache>
                <c:formatCode>"$"#,##0</c:formatCode>
                <c:ptCount val="5"/>
                <c:pt idx="0">
                  <c:v>876000</c:v>
                </c:pt>
                <c:pt idx="1">
                  <c:v>1752000</c:v>
                </c:pt>
                <c:pt idx="2">
                  <c:v>2628000</c:v>
                </c:pt>
                <c:pt idx="3">
                  <c:v>3504000</c:v>
                </c:pt>
                <c:pt idx="4">
                  <c:v>4380000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07-47E1-9362-2ECD89C95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8413855"/>
        <c:axId val="2048410975"/>
      </c:barChart>
      <c:catAx>
        <c:axId val="20484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2048410975"/>
        <c:crosses val="autoZero"/>
        <c:auto val="1"/>
        <c:lblAlgn val="ctr"/>
        <c:lblOffset val="100"/>
        <c:noMultiLvlLbl val="0"/>
      </c:catAx>
      <c:valAx>
        <c:axId val="2048410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Annual Cost Increase ($M)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2048413855"/>
        <c:crosses val="autoZero"/>
        <c:crossBetween val="between"/>
        <c:majorUnit val="1000000"/>
        <c:dispUnits>
          <c:builtInUnit val="millions"/>
        </c:dispUnits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'Figures 12, 13 and 14'!$C$23</c:f>
              <c:strCache>
                <c:ptCount val="1"/>
                <c:pt idx="0">
                  <c:v>Queued In Previous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C3F-4193-A510-E3AAF817BC9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3F-4193-A510-E3AAF817BC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3F-4193-A510-E3AAF817BC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3F-4193-A510-E3AAF817BC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3F-4193-A510-E3AAF817BC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3F-4193-A510-E3AAF817BC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3F-4193-A510-E3AAF817BC9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3F-4193-A510-E3AAF817BC9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3F-4193-A510-E3AAF817BC93}"/>
                </c:ext>
              </c:extLst>
            </c:dLbl>
            <c:dLbl>
              <c:idx val="9"/>
              <c:layout>
                <c:manualLayout>
                  <c:x val="0"/>
                  <c:y val="-0.1759259259259259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3F-4193-A510-E3AAF817BC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'Figures 12, 13 and 14'!$B$24:$B$33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'Figures 12, 13 and 14'!$C$24:$C$33</c:f>
              <c:numCache>
                <c:formatCode>0.0</c:formatCode>
                <c:ptCount val="10"/>
                <c:pt idx="0">
                  <c:v>197.6</c:v>
                </c:pt>
                <c:pt idx="1">
                  <c:v>227.1</c:v>
                </c:pt>
                <c:pt idx="2">
                  <c:v>218.7</c:v>
                </c:pt>
                <c:pt idx="3">
                  <c:v>272</c:v>
                </c:pt>
                <c:pt idx="4">
                  <c:v>362.1</c:v>
                </c:pt>
                <c:pt idx="5">
                  <c:v>434.2</c:v>
                </c:pt>
                <c:pt idx="6">
                  <c:v>612.9</c:v>
                </c:pt>
                <c:pt idx="7">
                  <c:v>810</c:v>
                </c:pt>
                <c:pt idx="8">
                  <c:v>1282.3</c:v>
                </c:pt>
                <c:pt idx="9">
                  <c:v>1689.6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3F-4193-A510-E3AAF817BC93}"/>
            </c:ext>
          </c:extLst>
        </c:ser>
        <c:ser>
          <c:idx val="2"/>
          <c:order val="1"/>
          <c:tx>
            <c:strRef>
              <c:f>'Figures 12, 13 and 14'!$D$23</c:f>
              <c:strCache>
                <c:ptCount val="1"/>
                <c:pt idx="0">
                  <c:v>Queued in Current Year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C3F-4193-A510-E3AAF817BC9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C3F-4193-A510-E3AAF817BC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C3F-4193-A510-E3AAF817BC9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C3F-4193-A510-E3AAF817BC9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C3F-4193-A510-E3AAF817BC9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C3F-4193-A510-E3AAF817BC9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C3F-4193-A510-E3AAF817BC9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C3F-4193-A510-E3AAF817BC9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C3F-4193-A510-E3AAF817BC93}"/>
                </c:ext>
              </c:extLst>
            </c:dLbl>
            <c:dLbl>
              <c:idx val="9"/>
              <c:layout>
                <c:manualLayout>
                  <c:x val="0"/>
                  <c:y val="-0.1342592592592592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C3F-4193-A510-E3AAF817BC9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'Figures 12, 13 and 14'!$B$24:$B$33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'Figures 12, 13 and 14'!$D$24:$D$33</c:f>
              <c:numCache>
                <c:formatCode>0.0</c:formatCode>
                <c:ptCount val="10"/>
                <c:pt idx="0">
                  <c:v>127</c:v>
                </c:pt>
                <c:pt idx="1">
                  <c:v>136.4</c:v>
                </c:pt>
                <c:pt idx="2">
                  <c:v>202.1</c:v>
                </c:pt>
                <c:pt idx="3">
                  <c:v>233.6</c:v>
                </c:pt>
                <c:pt idx="4">
                  <c:v>276.7</c:v>
                </c:pt>
                <c:pt idx="5">
                  <c:v>299.10000000000002</c:v>
                </c:pt>
                <c:pt idx="6">
                  <c:v>348.6</c:v>
                </c:pt>
                <c:pt idx="7">
                  <c:v>560.6</c:v>
                </c:pt>
                <c:pt idx="8">
                  <c:v>759.1</c:v>
                </c:pt>
                <c:pt idx="9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C3F-4193-A510-E3AAF817BC9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69298159"/>
        <c:axId val="1769299119"/>
      </c:barChart>
      <c:catAx>
        <c:axId val="17692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769299119"/>
        <c:crosses val="autoZero"/>
        <c:auto val="1"/>
        <c:lblAlgn val="ctr"/>
        <c:lblOffset val="100"/>
        <c:noMultiLvlLbl val="0"/>
      </c:catAx>
      <c:valAx>
        <c:axId val="1769299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Queued Capacity (GW)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769298159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'Figures 12, 13 and 14'!$K$23</c:f>
              <c:strCache>
                <c:ptCount val="1"/>
                <c:pt idx="0">
                  <c:v>Median # of Months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3047"/>
                      </a:solidFill>
                      <a:latin typeface="IBM Plex Sans" panose="020B05030502030002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0A4-4C26-9CEB-83749EE8D7E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A4-4C26-9CEB-83749EE8D7E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A4-4C26-9CEB-83749EE8D7E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A4-4C26-9CEB-83749EE8D7E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A4-4C26-9CEB-83749EE8D7E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A4-4C26-9CEB-83749EE8D7E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A4-4C26-9CEB-83749EE8D7E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A4-4C26-9CEB-83749EE8D7E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A4-4C26-9CEB-83749EE8D7EB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3047"/>
                      </a:solidFill>
                      <a:latin typeface="IBM Plex Sans" panose="020B0503050203000203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80A4-4C26-9CEB-83749EE8D7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'Figures 12, 13 and 14'!$J$24:$J$47</c15:sqref>
                  </c15:fullRef>
                </c:ext>
              </c:extLst>
              <c:f>'Figures 12, 13 and 14'!$J$38:$J$47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'Figures 12, 13 and 14'!$K$24:$K$47</c15:sqref>
                  </c15:fullRef>
                </c:ext>
              </c:extLst>
              <c:f>'Figures 12, 13 and 14'!$K$38:$K$47</c:f>
              <c:numCache>
                <c:formatCode>0.0</c:formatCode>
                <c:ptCount val="10"/>
                <c:pt idx="0">
                  <c:v>20.137976346911959</c:v>
                </c:pt>
                <c:pt idx="1">
                  <c:v>19.513797634691191</c:v>
                </c:pt>
                <c:pt idx="2">
                  <c:v>19.8915900131406</c:v>
                </c:pt>
                <c:pt idx="3">
                  <c:v>25.229960578186599</c:v>
                </c:pt>
                <c:pt idx="4">
                  <c:v>27.5131406044678</c:v>
                </c:pt>
                <c:pt idx="5">
                  <c:v>31.406044678055189</c:v>
                </c:pt>
                <c:pt idx="6">
                  <c:v>32.999342969776613</c:v>
                </c:pt>
                <c:pt idx="7">
                  <c:v>32.046649145860712</c:v>
                </c:pt>
                <c:pt idx="8">
                  <c:v>36.333771353482263</c:v>
                </c:pt>
                <c:pt idx="9">
                  <c:v>34.888304862023652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80A4-4C26-9CEB-83749EE8D7E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042558207"/>
        <c:axId val="2042556767"/>
      </c:lineChart>
      <c:catAx>
        <c:axId val="204255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2042556767"/>
        <c:crosses val="autoZero"/>
        <c:auto val="1"/>
        <c:lblAlgn val="ctr"/>
        <c:lblOffset val="100"/>
        <c:noMultiLvlLbl val="0"/>
      </c:catAx>
      <c:valAx>
        <c:axId val="204255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# of Months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2042558207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'Figures 12, 13 and 14'!$T$22</c:f>
              <c:strCache>
                <c:ptCount val="1"/>
                <c:pt idx="0">
                  <c:v>Average # of Months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12, 13 and 14'!$S$23:$S$28</c:f>
              <c:strCache>
                <c:ptCount val="6"/>
                <c:pt idx="0">
                  <c:v>West</c:v>
                </c:pt>
                <c:pt idx="1">
                  <c:v>ERCOT</c:v>
                </c:pt>
                <c:pt idx="2">
                  <c:v>PJM</c:v>
                </c:pt>
                <c:pt idx="3">
                  <c:v>SPP</c:v>
                </c:pt>
                <c:pt idx="4">
                  <c:v>NYISO</c:v>
                </c:pt>
                <c:pt idx="5">
                  <c:v>CAISO</c:v>
                </c:pt>
              </c:strCache>
            </c:strRef>
          </c:cat>
          <c:val>
            <c:numRef>
              <c:f>'Figures 12, 13 and 14'!$T$23:$T$28</c:f>
              <c:numCache>
                <c:formatCode>0.0</c:formatCode>
                <c:ptCount val="6"/>
                <c:pt idx="0">
                  <c:v>24.906373193166885</c:v>
                </c:pt>
                <c:pt idx="1">
                  <c:v>43.469119579500656</c:v>
                </c:pt>
                <c:pt idx="2">
                  <c:v>44.103153745072277</c:v>
                </c:pt>
                <c:pt idx="3">
                  <c:v>54.633705650459923</c:v>
                </c:pt>
                <c:pt idx="4">
                  <c:v>60.500985545335084</c:v>
                </c:pt>
                <c:pt idx="5">
                  <c:v>74.453022339027584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9-440B-840D-C01C58B10E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28375471"/>
        <c:axId val="1728375951"/>
      </c:barChart>
      <c:catAx>
        <c:axId val="17283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728375951"/>
        <c:crosses val="autoZero"/>
        <c:auto val="1"/>
        <c:lblAlgn val="ctr"/>
        <c:lblOffset val="100"/>
        <c:noMultiLvlLbl val="0"/>
      </c:catAx>
      <c:valAx>
        <c:axId val="1728375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#</a:t>
                </a:r>
                <a:r>
                  <a:rPr lang="en-US" b="1" baseline="0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 of Months</a:t>
                </a:r>
                <a:endParaRPr lang="en-US" b="1">
                  <a:solidFill>
                    <a:srgbClr val="023047"/>
                  </a:solidFill>
                  <a:latin typeface="IBM Plex Sans" panose="020B0503050203000203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728375471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3902012248469"/>
          <c:y val="5.3240740740740741E-2"/>
          <c:w val="0.84310552527087956"/>
          <c:h val="0.673998979294254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15'!$C$22</c:f>
              <c:strCache>
                <c:ptCount val="1"/>
                <c:pt idx="0">
                  <c:v>Low Cost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15'!$B$23:$B$32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'Figure 15'!$C$23:$C$32</c:f>
              <c:numCache>
                <c:formatCode>General</c:formatCode>
                <c:ptCount val="10"/>
                <c:pt idx="0">
                  <c:v>17003160</c:v>
                </c:pt>
                <c:pt idx="1">
                  <c:v>34006320</c:v>
                </c:pt>
                <c:pt idx="2">
                  <c:v>51009480</c:v>
                </c:pt>
                <c:pt idx="3">
                  <c:v>68012640</c:v>
                </c:pt>
                <c:pt idx="4">
                  <c:v>85015800</c:v>
                </c:pt>
                <c:pt idx="5">
                  <c:v>102018960</c:v>
                </c:pt>
                <c:pt idx="6">
                  <c:v>119022120</c:v>
                </c:pt>
                <c:pt idx="7">
                  <c:v>136025280</c:v>
                </c:pt>
                <c:pt idx="8">
                  <c:v>153028440</c:v>
                </c:pt>
                <c:pt idx="9">
                  <c:v>170031600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A-4F89-B72C-1C573C54118F}"/>
            </c:ext>
          </c:extLst>
        </c:ser>
        <c:ser>
          <c:idx val="1"/>
          <c:order val="1"/>
          <c:tx>
            <c:strRef>
              <c:f>'Figure 15'!$D$22</c:f>
              <c:strCache>
                <c:ptCount val="1"/>
                <c:pt idx="0">
                  <c:v>Medium Cost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15'!$B$23:$B$32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'Figure 15'!$D$23:$D$32</c:f>
              <c:numCache>
                <c:formatCode>General</c:formatCode>
                <c:ptCount val="10"/>
                <c:pt idx="0">
                  <c:v>22416839.999999996</c:v>
                </c:pt>
                <c:pt idx="1">
                  <c:v>44833679.999999993</c:v>
                </c:pt>
                <c:pt idx="2">
                  <c:v>67250519.999999985</c:v>
                </c:pt>
                <c:pt idx="3">
                  <c:v>89667359.999999985</c:v>
                </c:pt>
                <c:pt idx="4">
                  <c:v>112084199.99999999</c:v>
                </c:pt>
                <c:pt idx="5">
                  <c:v>134501039.99999997</c:v>
                </c:pt>
                <c:pt idx="6">
                  <c:v>156917879.99999997</c:v>
                </c:pt>
                <c:pt idx="7">
                  <c:v>179334719.99999997</c:v>
                </c:pt>
                <c:pt idx="8">
                  <c:v>201751559.99999997</c:v>
                </c:pt>
                <c:pt idx="9">
                  <c:v>224168399.99999997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0A-4F89-B72C-1C573C54118F}"/>
            </c:ext>
          </c:extLst>
        </c:ser>
        <c:ser>
          <c:idx val="2"/>
          <c:order val="2"/>
          <c:tx>
            <c:strRef>
              <c:f>'Figure 15'!$E$22</c:f>
              <c:strCache>
                <c:ptCount val="1"/>
                <c:pt idx="0">
                  <c:v>High Cost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numRef>
              <c:f>'Figure 15'!$B$23:$B$32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'Figure 15'!$E$23:$E$32</c:f>
              <c:numCache>
                <c:formatCode>General</c:formatCode>
                <c:ptCount val="10"/>
                <c:pt idx="0">
                  <c:v>49380119.999999993</c:v>
                </c:pt>
                <c:pt idx="1">
                  <c:v>98760239.999999985</c:v>
                </c:pt>
                <c:pt idx="2">
                  <c:v>148140359.99999997</c:v>
                </c:pt>
                <c:pt idx="3">
                  <c:v>197520479.99999997</c:v>
                </c:pt>
                <c:pt idx="4">
                  <c:v>246900599.99999997</c:v>
                </c:pt>
                <c:pt idx="5">
                  <c:v>296280719.99999994</c:v>
                </c:pt>
                <c:pt idx="6">
                  <c:v>345660839.99999994</c:v>
                </c:pt>
                <c:pt idx="7">
                  <c:v>395040959.99999994</c:v>
                </c:pt>
                <c:pt idx="8">
                  <c:v>444421079.99999994</c:v>
                </c:pt>
                <c:pt idx="9">
                  <c:v>493801199.99999994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0A-4F89-B72C-1C573C541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10623"/>
        <c:axId val="79210143"/>
      </c:barChart>
      <c:catAx>
        <c:axId val="792106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/>
                  <a:t>Year</a:t>
                </a:r>
              </a:p>
            </c:rich>
          </c:tx>
          <c:layout>
            <c:manualLayout>
              <c:xMode val="edge"/>
              <c:yMode val="edge"/>
              <c:x val="0.48610740965071675"/>
              <c:y val="0.816745406824146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79210143"/>
        <c:crosses val="autoZero"/>
        <c:auto val="1"/>
        <c:lblAlgn val="ctr"/>
        <c:lblOffset val="100"/>
        <c:noMultiLvlLbl val="0"/>
      </c:catAx>
      <c:valAx>
        <c:axId val="7921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Cumulative Energy Opex ($)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79210623"/>
        <c:crosses val="autoZero"/>
        <c:crossBetween val="between"/>
        <c:dispUnits>
          <c:builtInUnit val="millions"/>
        </c:dispUnits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191584225048797"/>
          <c:y val="0.10648148148148148"/>
          <c:w val="0.61280637997173426"/>
          <c:h val="0.713350831146106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5'!$C$24</c:f>
              <c:strCache>
                <c:ptCount val="1"/>
                <c:pt idx="0">
                  <c:v>Low Range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5'!$B$25:$B$31</c:f>
              <c:strCache>
                <c:ptCount val="7"/>
                <c:pt idx="0">
                  <c:v>Fire Suppression</c:v>
                </c:pt>
                <c:pt idx="1">
                  <c:v>Land</c:v>
                </c:pt>
                <c:pt idx="2">
                  <c:v>Building Shell</c:v>
                </c:pt>
                <c:pt idx="3">
                  <c:v>Building Fit-Out</c:v>
                </c:pt>
                <c:pt idx="4">
                  <c:v>HVAC / Mechanical / Cooling</c:v>
                </c:pt>
                <c:pt idx="5">
                  <c:v>Electrical Systems</c:v>
                </c:pt>
                <c:pt idx="6">
                  <c:v>Total Development Costs</c:v>
                </c:pt>
              </c:strCache>
            </c:strRef>
          </c:cat>
          <c:val>
            <c:numRef>
              <c:f>'Figure 5'!$C$25:$C$31</c:f>
              <c:numCache>
                <c:formatCode>"$"#,##0_);[Red]\("$"#,##0\)</c:formatCode>
                <c:ptCount val="7"/>
                <c:pt idx="0">
                  <c:v>15</c:v>
                </c:pt>
                <c:pt idx="1">
                  <c:v>25</c:v>
                </c:pt>
                <c:pt idx="2">
                  <c:v>80</c:v>
                </c:pt>
                <c:pt idx="3">
                  <c:v>100</c:v>
                </c:pt>
                <c:pt idx="4">
                  <c:v>125</c:v>
                </c:pt>
                <c:pt idx="5">
                  <c:v>280</c:v>
                </c:pt>
                <c:pt idx="6">
                  <c:v>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1-439F-AC33-D1759F221309}"/>
            </c:ext>
          </c:extLst>
        </c:ser>
        <c:ser>
          <c:idx val="1"/>
          <c:order val="1"/>
          <c:tx>
            <c:strRef>
              <c:f>'Figure 5'!$D$24</c:f>
              <c:strCache>
                <c:ptCount val="1"/>
                <c:pt idx="0">
                  <c:v>High Range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5'!$B$25:$B$31</c:f>
              <c:strCache>
                <c:ptCount val="7"/>
                <c:pt idx="0">
                  <c:v>Fire Suppression</c:v>
                </c:pt>
                <c:pt idx="1">
                  <c:v>Land</c:v>
                </c:pt>
                <c:pt idx="2">
                  <c:v>Building Shell</c:v>
                </c:pt>
                <c:pt idx="3">
                  <c:v>Building Fit-Out</c:v>
                </c:pt>
                <c:pt idx="4">
                  <c:v>HVAC / Mechanical / Cooling</c:v>
                </c:pt>
                <c:pt idx="5">
                  <c:v>Electrical Systems</c:v>
                </c:pt>
                <c:pt idx="6">
                  <c:v>Total Development Costs</c:v>
                </c:pt>
              </c:strCache>
            </c:strRef>
          </c:cat>
          <c:val>
            <c:numRef>
              <c:f>'Figure 5'!$D$25:$D$31</c:f>
              <c:numCache>
                <c:formatCode>"$"#,##0_);[Red]\("$"#,##0\)</c:formatCode>
                <c:ptCount val="7"/>
                <c:pt idx="0">
                  <c:v>25</c:v>
                </c:pt>
                <c:pt idx="1">
                  <c:v>75</c:v>
                </c:pt>
                <c:pt idx="2">
                  <c:v>160</c:v>
                </c:pt>
                <c:pt idx="3">
                  <c:v>200</c:v>
                </c:pt>
                <c:pt idx="4">
                  <c:v>215</c:v>
                </c:pt>
                <c:pt idx="5">
                  <c:v>460</c:v>
                </c:pt>
                <c:pt idx="6">
                  <c:v>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1-439F-AC33-D1759F221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95996479"/>
        <c:axId val="1796002719"/>
      </c:barChart>
      <c:catAx>
        <c:axId val="179599647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796002719"/>
        <c:crosses val="autoZero"/>
        <c:auto val="1"/>
        <c:lblAlgn val="ctr"/>
        <c:lblOffset val="100"/>
        <c:noMultiLvlLbl val="0"/>
      </c:catAx>
      <c:valAx>
        <c:axId val="17960027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$/sqft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795996479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1.2828252237701057E-2"/>
          <c:y val="0.81674540682414698"/>
          <c:w val="0.18588195706305943"/>
          <c:h val="0.160106445027704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6'!$J$25</c:f>
              <c:strCache>
                <c:ptCount val="1"/>
                <c:pt idx="0">
                  <c:v>Air Cooled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6'!$K$24:$L$24</c:f>
              <c:strCache>
                <c:ptCount val="2"/>
                <c:pt idx="0">
                  <c:v>Energy</c:v>
                </c:pt>
                <c:pt idx="1">
                  <c:v>Maintenance</c:v>
                </c:pt>
              </c:strCache>
            </c:strRef>
          </c:cat>
          <c:val>
            <c:numRef>
              <c:f>'Figure 6'!$K$25:$L$25</c:f>
              <c:numCache>
                <c:formatCode>"$"#,##0.00</c:formatCode>
                <c:ptCount val="2"/>
                <c:pt idx="0">
                  <c:v>10.75</c:v>
                </c:pt>
                <c:pt idx="1">
                  <c:v>12.35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E-4516-AC64-80C84F69AD36}"/>
            </c:ext>
          </c:extLst>
        </c:ser>
        <c:ser>
          <c:idx val="1"/>
          <c:order val="1"/>
          <c:tx>
            <c:strRef>
              <c:f>'Figure 6'!$J$26</c:f>
              <c:strCache>
                <c:ptCount val="1"/>
                <c:pt idx="0">
                  <c:v>Immersion Cooled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6'!$K$24:$L$24</c:f>
              <c:strCache>
                <c:ptCount val="2"/>
                <c:pt idx="0">
                  <c:v>Energy</c:v>
                </c:pt>
                <c:pt idx="1">
                  <c:v>Maintenance</c:v>
                </c:pt>
              </c:strCache>
            </c:strRef>
          </c:cat>
          <c:val>
            <c:numRef>
              <c:f>'Figure 6'!$K$26:$L$26</c:f>
              <c:numCache>
                <c:formatCode>"$"#,##0.00</c:formatCode>
                <c:ptCount val="2"/>
                <c:pt idx="0">
                  <c:v>6.63</c:v>
                </c:pt>
                <c:pt idx="1">
                  <c:v>7.57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E-4516-AC64-80C84F69AD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6408991"/>
        <c:axId val="1686410431"/>
      </c:barChart>
      <c:catAx>
        <c:axId val="168640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686410431"/>
        <c:crosses val="autoZero"/>
        <c:auto val="1"/>
        <c:lblAlgn val="ctr"/>
        <c:lblOffset val="100"/>
        <c:noMultiLvlLbl val="0"/>
      </c:catAx>
      <c:valAx>
        <c:axId val="16864104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Opex ($M)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686408991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'Figure 8'!$C$23</c:f>
              <c:strCache>
                <c:ptCount val="1"/>
                <c:pt idx="0">
                  <c:v>$/kWh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5E-4258-982C-9F65F025493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5E-4258-982C-9F65F025493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5E-4258-982C-9F65F025493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5E-4258-982C-9F65F025493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5E-4258-982C-9F65F025493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5E-4258-982C-9F65F025493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5E-4258-982C-9F65F025493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5E-4258-982C-9F65F0254936}"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8'!$B$24:$B$33</c:f>
              <c:strCache>
                <c:ptCount val="10"/>
                <c:pt idx="0">
                  <c:v>West South Central</c:v>
                </c:pt>
                <c:pt idx="1">
                  <c:v>East South Central</c:v>
                </c:pt>
                <c:pt idx="2">
                  <c:v>Mountain</c:v>
                </c:pt>
                <c:pt idx="3">
                  <c:v>West North Central</c:v>
                </c:pt>
                <c:pt idx="4">
                  <c:v>South Atlantic</c:v>
                </c:pt>
                <c:pt idx="5">
                  <c:v>U.S. Total</c:v>
                </c:pt>
                <c:pt idx="6">
                  <c:v>East North Central</c:v>
                </c:pt>
                <c:pt idx="7">
                  <c:v>Middle Atlantic</c:v>
                </c:pt>
                <c:pt idx="8">
                  <c:v>Pacific Contiguous</c:v>
                </c:pt>
                <c:pt idx="9">
                  <c:v>New England</c:v>
                </c:pt>
              </c:strCache>
            </c:strRef>
          </c:cat>
          <c:val>
            <c:numRef>
              <c:f>'Figure 8'!$C$24:$C$33</c:f>
              <c:numCache>
                <c:formatCode>"$"#,##0.000</c:formatCode>
                <c:ptCount val="10"/>
                <c:pt idx="0">
                  <c:v>6.4699999999999994E-2</c:v>
                </c:pt>
                <c:pt idx="1">
                  <c:v>7.1300000000000002E-2</c:v>
                </c:pt>
                <c:pt idx="2">
                  <c:v>7.2099999999999997E-2</c:v>
                </c:pt>
                <c:pt idx="3">
                  <c:v>7.5499999999999998E-2</c:v>
                </c:pt>
                <c:pt idx="4">
                  <c:v>8.2500000000000004E-2</c:v>
                </c:pt>
                <c:pt idx="5">
                  <c:v>8.5299999999999987E-2</c:v>
                </c:pt>
                <c:pt idx="6">
                  <c:v>9.1899999999999996E-2</c:v>
                </c:pt>
                <c:pt idx="7">
                  <c:v>0.1074</c:v>
                </c:pt>
                <c:pt idx="8">
                  <c:v>0.14050000000000001</c:v>
                </c:pt>
                <c:pt idx="9">
                  <c:v>0.18789999999999998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5E-4258-982C-9F65F02549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74407775"/>
        <c:axId val="1974403935"/>
      </c:barChart>
      <c:catAx>
        <c:axId val="1974407775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974403935"/>
        <c:crosses val="autoZero"/>
        <c:auto val="1"/>
        <c:lblAlgn val="ctr"/>
        <c:lblOffset val="100"/>
        <c:noMultiLvlLbl val="0"/>
      </c:catAx>
      <c:valAx>
        <c:axId val="19744039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Industrial $/kWh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974407775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'Figures 9, 10, and 11'!$C$22</c:f>
              <c:strCache>
                <c:ptCount val="1"/>
                <c:pt idx="0">
                  <c:v>Annual Energy Consumption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9, 10, and 11'!$B$23:$B$27</c:f>
              <c:strCache>
                <c:ptCount val="5"/>
                <c:pt idx="0">
                  <c:v>10 MW</c:v>
                </c:pt>
                <c:pt idx="1">
                  <c:v>20 MW</c:v>
                </c:pt>
                <c:pt idx="2">
                  <c:v>30 MW</c:v>
                </c:pt>
                <c:pt idx="3">
                  <c:v>40 MW</c:v>
                </c:pt>
                <c:pt idx="4">
                  <c:v>50 MW</c:v>
                </c:pt>
              </c:strCache>
            </c:strRef>
          </c:cat>
          <c:val>
            <c:numRef>
              <c:f>'Figures 9, 10, and 11'!$C$23:$C$27</c:f>
              <c:numCache>
                <c:formatCode>#,##0</c:formatCode>
                <c:ptCount val="5"/>
                <c:pt idx="0">
                  <c:v>87600</c:v>
                </c:pt>
                <c:pt idx="1">
                  <c:v>175200</c:v>
                </c:pt>
                <c:pt idx="2">
                  <c:v>262800</c:v>
                </c:pt>
                <c:pt idx="3">
                  <c:v>350400</c:v>
                </c:pt>
                <c:pt idx="4">
                  <c:v>438000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A-48C1-9294-CF978D7E8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2638367"/>
        <c:axId val="2042648927"/>
      </c:barChart>
      <c:catAx>
        <c:axId val="204263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2042648927"/>
        <c:crosses val="autoZero"/>
        <c:auto val="1"/>
        <c:lblAlgn val="ctr"/>
        <c:lblOffset val="100"/>
        <c:noMultiLvlLbl val="0"/>
      </c:catAx>
      <c:valAx>
        <c:axId val="2042648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Annual Energy Consumption (GWh)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2042638367"/>
        <c:crosses val="autoZero"/>
        <c:crossBetween val="between"/>
        <c:dispUnits>
          <c:builtInUnit val="thousands"/>
        </c:dispUnits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'Figures 9, 10, and 11'!$K$22</c:f>
              <c:strCache>
                <c:ptCount val="1"/>
                <c:pt idx="0">
                  <c:v>Low Cost Market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'Figures 9, 10, and 11'!$I$23:$I$27</c:f>
              <c:strCache>
                <c:ptCount val="5"/>
                <c:pt idx="0">
                  <c:v>10 MW</c:v>
                </c:pt>
                <c:pt idx="1">
                  <c:v>20 MW</c:v>
                </c:pt>
                <c:pt idx="2">
                  <c:v>30 MW</c:v>
                </c:pt>
                <c:pt idx="3">
                  <c:v>40 MW</c:v>
                </c:pt>
                <c:pt idx="4">
                  <c:v>50 MW</c:v>
                </c:pt>
              </c:strCache>
            </c:strRef>
          </c:cat>
          <c:val>
            <c:numRef>
              <c:f>'Figures 9, 10, and 11'!$K$23:$K$27</c:f>
              <c:numCache>
                <c:formatCode>"$"#,##0</c:formatCode>
                <c:ptCount val="5"/>
                <c:pt idx="0">
                  <c:v>5667719.9999999991</c:v>
                </c:pt>
                <c:pt idx="1">
                  <c:v>11335439.999999998</c:v>
                </c:pt>
                <c:pt idx="2">
                  <c:v>17003160</c:v>
                </c:pt>
                <c:pt idx="3">
                  <c:v>22670879.999999996</c:v>
                </c:pt>
                <c:pt idx="4">
                  <c:v>28338600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90-4025-8320-7353C774EC3B}"/>
            </c:ext>
          </c:extLst>
        </c:ser>
        <c:ser>
          <c:idx val="2"/>
          <c:order val="2"/>
          <c:tx>
            <c:strRef>
              <c:f>'Figures 9, 10, and 11'!$L$22</c:f>
              <c:strCache>
                <c:ptCount val="1"/>
                <c:pt idx="0">
                  <c:v>Medium Cost Market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'Figures 9, 10, and 11'!$I$23:$I$27</c:f>
              <c:strCache>
                <c:ptCount val="5"/>
                <c:pt idx="0">
                  <c:v>10 MW</c:v>
                </c:pt>
                <c:pt idx="1">
                  <c:v>20 MW</c:v>
                </c:pt>
                <c:pt idx="2">
                  <c:v>30 MW</c:v>
                </c:pt>
                <c:pt idx="3">
                  <c:v>40 MW</c:v>
                </c:pt>
                <c:pt idx="4">
                  <c:v>50 MW</c:v>
                </c:pt>
              </c:strCache>
            </c:strRef>
          </c:cat>
          <c:val>
            <c:numRef>
              <c:f>'Figures 9, 10, and 11'!$L$23:$L$27</c:f>
              <c:numCache>
                <c:formatCode>"$"#,##0</c:formatCode>
                <c:ptCount val="5"/>
                <c:pt idx="0">
                  <c:v>7472279.9999999991</c:v>
                </c:pt>
                <c:pt idx="1">
                  <c:v>14944559.999999998</c:v>
                </c:pt>
                <c:pt idx="2">
                  <c:v>22416839.999999996</c:v>
                </c:pt>
                <c:pt idx="3">
                  <c:v>29889119.999999996</c:v>
                </c:pt>
                <c:pt idx="4">
                  <c:v>37361399.999999993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90-4025-8320-7353C774EC3B}"/>
            </c:ext>
          </c:extLst>
        </c:ser>
        <c:ser>
          <c:idx val="3"/>
          <c:order val="3"/>
          <c:tx>
            <c:strRef>
              <c:f>'Figures 9, 10, and 11'!$M$22</c:f>
              <c:strCache>
                <c:ptCount val="1"/>
                <c:pt idx="0">
                  <c:v>High Cost Market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'Figures 9, 10, and 11'!$I$23:$I$27</c:f>
              <c:strCache>
                <c:ptCount val="5"/>
                <c:pt idx="0">
                  <c:v>10 MW</c:v>
                </c:pt>
                <c:pt idx="1">
                  <c:v>20 MW</c:v>
                </c:pt>
                <c:pt idx="2">
                  <c:v>30 MW</c:v>
                </c:pt>
                <c:pt idx="3">
                  <c:v>40 MW</c:v>
                </c:pt>
                <c:pt idx="4">
                  <c:v>50 MW</c:v>
                </c:pt>
              </c:strCache>
            </c:strRef>
          </c:cat>
          <c:val>
            <c:numRef>
              <c:f>'Figures 9, 10, and 11'!$M$23:$M$27</c:f>
              <c:numCache>
                <c:formatCode>"$"#,##0</c:formatCode>
                <c:ptCount val="5"/>
                <c:pt idx="0">
                  <c:v>16460039.999999998</c:v>
                </c:pt>
                <c:pt idx="1">
                  <c:v>32920079.999999996</c:v>
                </c:pt>
                <c:pt idx="2">
                  <c:v>49380119.999999993</c:v>
                </c:pt>
                <c:pt idx="3">
                  <c:v>65840159.999999993</c:v>
                </c:pt>
                <c:pt idx="4">
                  <c:v>82300200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90-4025-8320-7353C774E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63329215"/>
        <c:axId val="196333209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'Figures 9, 10, and 11'!$J$22</c15:sqref>
                        </c15:formulaRef>
                      </c:ext>
                    </c:extLst>
                    <c:strCache>
                      <c:ptCount val="1"/>
                      <c:pt idx="0">
                        <c:v>Annual Energy Consumption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'Figures 9, 10, and 11'!$I$23:$I$27</c15:sqref>
                        </c15:formulaRef>
                      </c:ext>
                    </c:extLst>
                    <c:strCache>
                      <c:ptCount val="5"/>
                      <c:pt idx="0">
                        <c:v>10 MW</c:v>
                      </c:pt>
                      <c:pt idx="1">
                        <c:v>20 MW</c:v>
                      </c:pt>
                      <c:pt idx="2">
                        <c:v>30 MW</c:v>
                      </c:pt>
                      <c:pt idx="3">
                        <c:v>40 MW</c:v>
                      </c:pt>
                      <c:pt idx="4">
                        <c:v>50 MW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'Figures 9, 10, and 11'!$J$23:$J$27</c15:sqref>
                        </c15:formulaRef>
                      </c:ext>
                    </c:extLst>
                    <c:numCache>
                      <c:formatCode>"$"#,##0</c:formatCode>
                      <c:ptCount val="5"/>
                      <c:pt idx="0">
                        <c:v>87600</c:v>
                      </c:pt>
                      <c:pt idx="1">
                        <c:v>175200</c:v>
                      </c:pt>
                      <c:pt idx="2">
                        <c:v>262800</c:v>
                      </c:pt>
                      <c:pt idx="3">
                        <c:v>350400</c:v>
                      </c:pt>
                      <c:pt idx="4">
                        <c:v>438000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290-4025-8320-7353C774EC3B}"/>
                  </c:ext>
                </c:extLst>
              </c15:ser>
            </c15:filteredBarSeries>
          </c:ext>
        </c:extLst>
      </c:barChart>
      <c:catAx>
        <c:axId val="19633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963332095"/>
        <c:crosses val="autoZero"/>
        <c:auto val="1"/>
        <c:lblAlgn val="ctr"/>
        <c:lblOffset val="100"/>
        <c:noMultiLvlLbl val="0"/>
      </c:catAx>
      <c:valAx>
        <c:axId val="1963332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Annual Energy Cost ($M)</a:t>
                </a:r>
              </a:p>
            </c:rich>
          </c:tx>
          <c:layout>
            <c:manualLayout>
              <c:xMode val="edge"/>
              <c:yMode val="edge"/>
              <c:x val="1.9230769230769232E-2"/>
              <c:y val="0.13084208223972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963329215"/>
        <c:crosses val="autoZero"/>
        <c:crossBetween val="between"/>
        <c:dispUnits>
          <c:builtInUnit val="millions"/>
        </c:dispUnits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'Figures 9, 10, and 11'!$S$22</c:f>
              <c:strCache>
                <c:ptCount val="1"/>
                <c:pt idx="0">
                  <c:v>$0.01/kWh Energy Price Increase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D5ED6E8-80DE-43A9-A60F-7E04D4B9C22F}" type="VALUE">
                      <a:rPr lang="en-US"/>
                      <a:pPr/>
                      <a:t>[VALUE]</a:t>
                    </a:fld>
                    <a:r>
                      <a:rPr lang="en-US"/>
                      <a:t>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8E7-4FC5-8EF7-09B9171E74E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D5FDEB4-7725-49FC-AE02-D096CAECB88F}" type="VALUE">
                      <a:rPr lang="en-US"/>
                      <a:pPr/>
                      <a:t>[VALUE]</a:t>
                    </a:fld>
                    <a:r>
                      <a:rPr lang="en-US"/>
                      <a:t>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8E7-4FC5-8EF7-09B9171E74E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83C0B94-4D8C-4F70-8893-F0C1F778333C}" type="VALUE">
                      <a:rPr lang="en-US"/>
                      <a:pPr/>
                      <a:t>[VALUE]</a:t>
                    </a:fld>
                    <a:r>
                      <a:rPr lang="en-US"/>
                      <a:t>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8E7-4FC5-8EF7-09B9171E74E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E8A86BE-2393-403E-8F2F-A908FCF3CE68}" type="VALUE">
                      <a:rPr lang="en-US"/>
                      <a:pPr/>
                      <a:t>[VALUE]</a:t>
                    </a:fld>
                    <a:r>
                      <a:rPr lang="en-US"/>
                      <a:t>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8E7-4FC5-8EF7-09B9171E74E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B1228B0-F29B-4FC2-B116-9BDA72BDC198}" type="VALUE">
                      <a:rPr lang="en-US"/>
                      <a:pPr/>
                      <a:t>[VALUE]</a:t>
                    </a:fld>
                    <a:r>
                      <a:rPr lang="en-US"/>
                      <a:t>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78E7-4FC5-8EF7-09B9171E74EA}"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'Figures 9, 10, and 11'!$R$23:$R$27</c:f>
              <c:strCache>
                <c:ptCount val="5"/>
                <c:pt idx="0">
                  <c:v>10 MW</c:v>
                </c:pt>
                <c:pt idx="1">
                  <c:v>20 MW</c:v>
                </c:pt>
                <c:pt idx="2">
                  <c:v>30 MW</c:v>
                </c:pt>
                <c:pt idx="3">
                  <c:v>40 MW</c:v>
                </c:pt>
                <c:pt idx="4">
                  <c:v>50 MW</c:v>
                </c:pt>
              </c:strCache>
            </c:strRef>
          </c:cat>
          <c:val>
            <c:numRef>
              <c:f>'Figures 9, 10, and 11'!$S$23:$S$27</c:f>
              <c:numCache>
                <c:formatCode>"$"#,##0</c:formatCode>
                <c:ptCount val="5"/>
                <c:pt idx="0">
                  <c:v>876000</c:v>
                </c:pt>
                <c:pt idx="1">
                  <c:v>1752000</c:v>
                </c:pt>
                <c:pt idx="2">
                  <c:v>2628000</c:v>
                </c:pt>
                <c:pt idx="3">
                  <c:v>3504000</c:v>
                </c:pt>
                <c:pt idx="4">
                  <c:v>4380000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E7-4FC5-8EF7-09B9171E7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8413855"/>
        <c:axId val="2048410975"/>
      </c:barChart>
      <c:catAx>
        <c:axId val="20484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2048410975"/>
        <c:crosses val="autoZero"/>
        <c:auto val="1"/>
        <c:lblAlgn val="ctr"/>
        <c:lblOffset val="100"/>
        <c:noMultiLvlLbl val="0"/>
      </c:catAx>
      <c:valAx>
        <c:axId val="2048410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Annual Cost Increase ($M)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2048413855"/>
        <c:crosses val="autoZero"/>
        <c:crossBetween val="between"/>
        <c:majorUnit val="1000000"/>
        <c:dispUnits>
          <c:builtInUnit val="millions"/>
        </c:dispUnits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'Figures 12, 13 and 14'!$C$23</c:f>
              <c:strCache>
                <c:ptCount val="1"/>
                <c:pt idx="0">
                  <c:v>Queued In Previous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FC-40D2-805B-893889C1A33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FC-40D2-805B-893889C1A3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FC-40D2-805B-893889C1A33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FC-40D2-805B-893889C1A3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FC-40D2-805B-893889C1A33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FC-40D2-805B-893889C1A33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FC-40D2-805B-893889C1A33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FC-40D2-805B-893889C1A33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FC-40D2-805B-893889C1A33B}"/>
                </c:ext>
              </c:extLst>
            </c:dLbl>
            <c:dLbl>
              <c:idx val="9"/>
              <c:layout>
                <c:manualLayout>
                  <c:x val="0"/>
                  <c:y val="-0.1759259259259259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FC-40D2-805B-893889C1A3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'Figures 12, 13 and 14'!$B$24:$B$33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'Figures 12, 13 and 14'!$C$24:$C$33</c:f>
              <c:numCache>
                <c:formatCode>0.0</c:formatCode>
                <c:ptCount val="10"/>
                <c:pt idx="0">
                  <c:v>197.6</c:v>
                </c:pt>
                <c:pt idx="1">
                  <c:v>227.1</c:v>
                </c:pt>
                <c:pt idx="2">
                  <c:v>218.7</c:v>
                </c:pt>
                <c:pt idx="3">
                  <c:v>272</c:v>
                </c:pt>
                <c:pt idx="4">
                  <c:v>362.1</c:v>
                </c:pt>
                <c:pt idx="5">
                  <c:v>434.2</c:v>
                </c:pt>
                <c:pt idx="6">
                  <c:v>612.9</c:v>
                </c:pt>
                <c:pt idx="7">
                  <c:v>810</c:v>
                </c:pt>
                <c:pt idx="8">
                  <c:v>1282.3</c:v>
                </c:pt>
                <c:pt idx="9">
                  <c:v>1689.6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BFC-40D2-805B-893889C1A33B}"/>
            </c:ext>
          </c:extLst>
        </c:ser>
        <c:ser>
          <c:idx val="2"/>
          <c:order val="1"/>
          <c:tx>
            <c:strRef>
              <c:f>'Figures 12, 13 and 14'!$D$23</c:f>
              <c:strCache>
                <c:ptCount val="1"/>
                <c:pt idx="0">
                  <c:v>Queued in Current Year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FC-40D2-805B-893889C1A33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BFC-40D2-805B-893889C1A3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BFC-40D2-805B-893889C1A33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BFC-40D2-805B-893889C1A3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FC-40D2-805B-893889C1A33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BFC-40D2-805B-893889C1A33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BFC-40D2-805B-893889C1A33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BFC-40D2-805B-893889C1A33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BFC-40D2-805B-893889C1A33B}"/>
                </c:ext>
              </c:extLst>
            </c:dLbl>
            <c:dLbl>
              <c:idx val="9"/>
              <c:layout>
                <c:manualLayout>
                  <c:x val="0"/>
                  <c:y val="-0.1342592592592592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BFC-40D2-805B-893889C1A3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'Figures 12, 13 and 14'!$B$24:$B$33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'Figures 12, 13 and 14'!$D$24:$D$33</c:f>
              <c:numCache>
                <c:formatCode>0.0</c:formatCode>
                <c:ptCount val="10"/>
                <c:pt idx="0">
                  <c:v>127</c:v>
                </c:pt>
                <c:pt idx="1">
                  <c:v>136.4</c:v>
                </c:pt>
                <c:pt idx="2">
                  <c:v>202.1</c:v>
                </c:pt>
                <c:pt idx="3">
                  <c:v>233.6</c:v>
                </c:pt>
                <c:pt idx="4">
                  <c:v>276.7</c:v>
                </c:pt>
                <c:pt idx="5">
                  <c:v>299.10000000000002</c:v>
                </c:pt>
                <c:pt idx="6">
                  <c:v>348.6</c:v>
                </c:pt>
                <c:pt idx="7">
                  <c:v>560.6</c:v>
                </c:pt>
                <c:pt idx="8">
                  <c:v>759.1</c:v>
                </c:pt>
                <c:pt idx="9">
                  <c:v>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BFC-40D2-805B-893889C1A3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769298159"/>
        <c:axId val="1769299119"/>
      </c:barChart>
      <c:catAx>
        <c:axId val="17692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rgbClr val="023047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769299119"/>
        <c:crosses val="autoZero"/>
        <c:auto val="1"/>
        <c:lblAlgn val="ctr"/>
        <c:lblOffset val="100"/>
        <c:noMultiLvlLbl val="0"/>
      </c:catAx>
      <c:valAx>
        <c:axId val="1769299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  <a:ea typeface="+mn-ea"/>
                    <a:cs typeface="+mn-cs"/>
                  </a:defRPr>
                </a:pPr>
                <a:r>
                  <a:rPr lang="en-US" sz="1000" b="1" i="0" u="none" strike="noStrike" kern="1200" baseline="0">
                    <a:solidFill>
                      <a:srgbClr val="023047"/>
                    </a:solidFill>
                    <a:latin typeface="IBM Plex Sans" panose="020B0503050203000203" pitchFamily="34" charset="0"/>
                  </a:rPr>
                  <a:t>Queued Capacity (GW)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1" i="0" u="none" strike="noStrike" kern="1200" baseline="0">
                  <a:solidFill>
                    <a:srgbClr val="023047"/>
                  </a:solidFill>
                  <a:latin typeface="IBM Plex Sans" panose="020B050305020300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19050">
            <a:solidFill>
              <a:srgbClr val="023047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23047"/>
                </a:solidFill>
                <a:latin typeface="IBM Plex Sans"/>
                <a:ea typeface="IBM Plex Sans"/>
                <a:cs typeface="IBM Plex Sans"/>
              </a:defRPr>
            </a:pPr>
            <a:endParaRPr lang="en-US"/>
          </a:p>
        </c:txPr>
        <c:crossAx val="1769298159"/>
        <c:crosses val="autoZero"/>
        <c:crossBetween val="between"/>
      </c:valAx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rgbClr val="023047"/>
              </a:solidFill>
              <a:latin typeface="IBM Plex Sans" panose="020B050305020300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12700" cap="flat" cmpd="sng" algn="ctr">
      <a:solidFill>
        <a:srgbClr val="023047"/>
      </a:solidFill>
      <a:round/>
    </a:ln>
    <a:effectLst/>
  </c:spPr>
  <c:txPr>
    <a:bodyPr/>
    <a:lstStyle/>
    <a:p>
      <a:pPr>
        <a:defRPr sz="1000">
          <a:solidFill>
            <a:srgbClr val="023047"/>
          </a:solidFill>
          <a:latin typeface="IBM Plex Sans" panose="020B050305020300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13" Type="http://schemas.openxmlformats.org/officeDocument/2006/relationships/chart" Target="../charts/chart11.xml"/><Relationship Id="rId3" Type="http://schemas.openxmlformats.org/officeDocument/2006/relationships/image" Target="../media/image1.png"/><Relationship Id="rId7" Type="http://schemas.openxmlformats.org/officeDocument/2006/relationships/chart" Target="../charts/chart5.xml"/><Relationship Id="rId12" Type="http://schemas.openxmlformats.org/officeDocument/2006/relationships/chart" Target="../charts/chart10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11" Type="http://schemas.openxmlformats.org/officeDocument/2006/relationships/chart" Target="../charts/chart9.xml"/><Relationship Id="rId5" Type="http://schemas.openxmlformats.org/officeDocument/2006/relationships/chart" Target="../charts/chart4.xml"/><Relationship Id="rId10" Type="http://schemas.openxmlformats.org/officeDocument/2006/relationships/chart" Target="../charts/chart8.xml"/><Relationship Id="rId4" Type="http://schemas.openxmlformats.org/officeDocument/2006/relationships/chart" Target="../charts/chart3.xml"/><Relationship Id="rId9" Type="http://schemas.openxmlformats.org/officeDocument/2006/relationships/chart" Target="../charts/chart7.xml"/><Relationship Id="rId14" Type="http://schemas.openxmlformats.org/officeDocument/2006/relationships/chart" Target="../charts/chart12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8</xdr:col>
      <xdr:colOff>609600</xdr:colOff>
      <xdr:row>18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261E5F-22E9-4162-A7D9-1AA1968EB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8</xdr:col>
      <xdr:colOff>609600</xdr:colOff>
      <xdr:row>35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AC443A-B0DF-4DCF-8326-9D4E70149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38</xdr:row>
      <xdr:rowOff>0</xdr:rowOff>
    </xdr:from>
    <xdr:to>
      <xdr:col>8</xdr:col>
      <xdr:colOff>609600</xdr:colOff>
      <xdr:row>53</xdr:row>
      <xdr:rowOff>19685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49E2527-7682-0ED6-2E71-85A0B392D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6915150"/>
          <a:ext cx="5943600" cy="287718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57</xdr:row>
      <xdr:rowOff>0</xdr:rowOff>
    </xdr:from>
    <xdr:to>
      <xdr:col>8</xdr:col>
      <xdr:colOff>609600</xdr:colOff>
      <xdr:row>71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C34B20E-AC1F-4057-BDD0-4F558FB0D7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8</xdr:col>
      <xdr:colOff>609600</xdr:colOff>
      <xdr:row>88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97B7883-C89B-489E-A61B-E9EF6B3F6F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0</xdr:colOff>
      <xdr:row>91</xdr:row>
      <xdr:rowOff>0</xdr:rowOff>
    </xdr:from>
    <xdr:to>
      <xdr:col>8</xdr:col>
      <xdr:colOff>621030</xdr:colOff>
      <xdr:row>110</xdr:row>
      <xdr:rowOff>57150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E823714-1694-00EF-11B8-AEC361B5F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8125" y="17040225"/>
          <a:ext cx="5955030" cy="36766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114</xdr:row>
      <xdr:rowOff>0</xdr:rowOff>
    </xdr:from>
    <xdr:to>
      <xdr:col>8</xdr:col>
      <xdr:colOff>609600</xdr:colOff>
      <xdr:row>128</xdr:row>
      <xdr:rowOff>76200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F99A332-986A-4AD2-8B29-8499C832F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131</xdr:row>
      <xdr:rowOff>0</xdr:rowOff>
    </xdr:from>
    <xdr:to>
      <xdr:col>8</xdr:col>
      <xdr:colOff>609600</xdr:colOff>
      <xdr:row>145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68942DB-4EA5-4FF3-A6E9-101CCCD897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148</xdr:row>
      <xdr:rowOff>0</xdr:rowOff>
    </xdr:from>
    <xdr:to>
      <xdr:col>8</xdr:col>
      <xdr:colOff>609600</xdr:colOff>
      <xdr:row>162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EC3167D-F08E-4D04-B623-13C3BEE62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165</xdr:row>
      <xdr:rowOff>0</xdr:rowOff>
    </xdr:from>
    <xdr:to>
      <xdr:col>8</xdr:col>
      <xdr:colOff>609600</xdr:colOff>
      <xdr:row>179</xdr:row>
      <xdr:rowOff>76200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0D5977E-B789-4D60-9EEC-9EC10F0F3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182</xdr:row>
      <xdr:rowOff>0</xdr:rowOff>
    </xdr:from>
    <xdr:to>
      <xdr:col>8</xdr:col>
      <xdr:colOff>609600</xdr:colOff>
      <xdr:row>196</xdr:row>
      <xdr:rowOff>76200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4FD194A4-5CFF-41BC-8B2E-9CD81C680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199</xdr:row>
      <xdr:rowOff>0</xdr:rowOff>
    </xdr:from>
    <xdr:to>
      <xdr:col>8</xdr:col>
      <xdr:colOff>581025</xdr:colOff>
      <xdr:row>213</xdr:row>
      <xdr:rowOff>76200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AC7EBEB1-A19C-4480-AD0E-F7733197F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238124</xdr:colOff>
      <xdr:row>216</xdr:row>
      <xdr:rowOff>0</xdr:rowOff>
    </xdr:from>
    <xdr:to>
      <xdr:col>8</xdr:col>
      <xdr:colOff>600074</xdr:colOff>
      <xdr:row>230</xdr:row>
      <xdr:rowOff>76200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FED158F6-B13E-46B8-A155-62DA1A10E2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233</xdr:row>
      <xdr:rowOff>0</xdr:rowOff>
    </xdr:from>
    <xdr:to>
      <xdr:col>8</xdr:col>
      <xdr:colOff>609600</xdr:colOff>
      <xdr:row>247</xdr:row>
      <xdr:rowOff>76200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D0164104-7CB7-4F49-8E1D-F3FFF845E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8</xdr:col>
      <xdr:colOff>86685</xdr:colOff>
      <xdr:row>53</xdr:row>
      <xdr:rowOff>181798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8E986B-1D5A-4ABC-02FF-E0816855B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4029075"/>
          <a:ext cx="6878010" cy="58967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8</xdr:col>
      <xdr:colOff>742950</xdr:colOff>
      <xdr:row>25</xdr:row>
      <xdr:rowOff>160901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E0B272-28CD-6D5E-B867-F299C8247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333500"/>
          <a:ext cx="6076950" cy="922901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8</xdr:col>
      <xdr:colOff>609600</xdr:colOff>
      <xdr:row>16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4B15984-082F-4630-8131-22B2FCAED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22</xdr:row>
      <xdr:rowOff>0</xdr:rowOff>
    </xdr:from>
    <xdr:to>
      <xdr:col>8</xdr:col>
      <xdr:colOff>647701</xdr:colOff>
      <xdr:row>44</xdr:row>
      <xdr:rowOff>129669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587309-75C4-1F20-600A-94BA6CEC0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6" y="2857500"/>
          <a:ext cx="5981700" cy="4349244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8</xdr:col>
      <xdr:colOff>609600</xdr:colOff>
      <xdr:row>16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77BDA5C-3AC8-48FB-8F82-67D7C0CB0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619125</xdr:colOff>
      <xdr:row>16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199D0AE-1553-4D80-A446-D01E241C2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8</xdr:col>
      <xdr:colOff>343692</xdr:colOff>
      <xdr:row>33</xdr:row>
      <xdr:rowOff>124165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089B8B-2364-8D11-AAE9-E4488A668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81000"/>
          <a:ext cx="5677692" cy="243874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</xdr:row>
      <xdr:rowOff>0</xdr:rowOff>
    </xdr:from>
    <xdr:to>
      <xdr:col>8</xdr:col>
      <xdr:colOff>609600</xdr:colOff>
      <xdr:row>16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7E7F776-D80D-4D9B-8935-6B54DC66C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85725</xdr:colOff>
      <xdr:row>16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296D38F-2595-4620-B9C4-CAE3CBE8B9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133350</xdr:colOff>
      <xdr:row>16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BABC576-82B1-4C9B-8861-801D9B21CF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</xdr:row>
      <xdr:rowOff>0</xdr:rowOff>
    </xdr:from>
    <xdr:to>
      <xdr:col>12</xdr:col>
      <xdr:colOff>1143000</xdr:colOff>
      <xdr:row>16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8B9C3BF-8F3B-4133-A5E5-BFDE02E6BF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</xdr:colOff>
      <xdr:row>2</xdr:row>
      <xdr:rowOff>0</xdr:rowOff>
    </xdr:from>
    <xdr:to>
      <xdr:col>22</xdr:col>
      <xdr:colOff>447675</xdr:colOff>
      <xdr:row>16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B1CD1B3-9DA0-49F7-B79C-765FA5E93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733425</xdr:colOff>
      <xdr:row>16</xdr:row>
      <xdr:rowOff>76200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81598B5-42C4-403E-97FB-89CB5E4FE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</xdr:row>
      <xdr:rowOff>0</xdr:rowOff>
    </xdr:from>
    <xdr:to>
      <xdr:col>16</xdr:col>
      <xdr:colOff>733425</xdr:colOff>
      <xdr:row>16</xdr:row>
      <xdr:rowOff>76200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98F67DA-3C65-4707-80C4-ABC7357829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2</xdr:row>
      <xdr:rowOff>0</xdr:rowOff>
    </xdr:from>
    <xdr:to>
      <xdr:col>29</xdr:col>
      <xdr:colOff>295275</xdr:colOff>
      <xdr:row>16</xdr:row>
      <xdr:rowOff>76200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8A71578A-787C-47AF-B111-9C097E2AF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8</xdr:col>
      <xdr:colOff>323850</xdr:colOff>
      <xdr:row>16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A19029-1401-43E1-BF63-BD5197768E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ul Hubbs" refreshedDate="46104.468391666669" createdVersion="8" refreshedVersion="8" minRefreshableVersion="3" recordCount="60" xr:uid="{9F53B192-17DE-44E3-8D1F-F1DEABBEAFA4}">
  <cacheSource type="worksheet">
    <worksheetSource name="Table1"/>
  </cacheSource>
  <cacheFields count="3">
    <cacheField name="In-Service Year" numFmtId="0">
      <sharedItems containsSemiMixedTypes="0" containsString="0" containsNumber="1" containsInteger="1" minValue="2014" maxValue="2023" count="10">
        <n v="2014"/>
        <n v="2015"/>
        <n v="2016"/>
        <n v="2017"/>
        <n v="2018"/>
        <n v="2019"/>
        <n v="2020"/>
        <n v="2021"/>
        <n v="2022"/>
        <n v="2023"/>
      </sharedItems>
    </cacheField>
    <cacheField name="Region" numFmtId="0">
      <sharedItems count="7">
        <s v="CAISO"/>
        <s v="ERCOT"/>
        <s v="NYISO"/>
        <s v="PJM"/>
        <s v="SPP"/>
        <s v="West"/>
        <s v="MISO" u="1"/>
      </sharedItems>
    </cacheField>
    <cacheField name="Median" numFmtId="166">
      <sharedItems containsSemiMixedTypes="0" containsString="0" containsNumber="1" minValue="5.5847568988173446" maxValue="100.443495400788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x v="0"/>
    <n v="55.289093298291718"/>
  </r>
  <r>
    <x v="0"/>
    <x v="1"/>
    <n v="44.973718791064393"/>
  </r>
  <r>
    <x v="0"/>
    <x v="2"/>
    <n v="33.081471747700391"/>
  </r>
  <r>
    <x v="0"/>
    <x v="3"/>
    <n v="42.641261498028911"/>
  </r>
  <r>
    <x v="0"/>
    <x v="4"/>
    <n v="64.75032851511169"/>
  </r>
  <r>
    <x v="0"/>
    <x v="5"/>
    <n v="19.15243101182654"/>
  </r>
  <r>
    <x v="1"/>
    <x v="0"/>
    <n v="63.534822601839679"/>
  </r>
  <r>
    <x v="1"/>
    <x v="1"/>
    <n v="40.867279894875161"/>
  </r>
  <r>
    <x v="1"/>
    <x v="2"/>
    <n v="56.86596583442838"/>
  </r>
  <r>
    <x v="1"/>
    <x v="3"/>
    <n v="28.712220762155059"/>
  </r>
  <r>
    <x v="1"/>
    <x v="4"/>
    <n v="34.050591327201047"/>
  </r>
  <r>
    <x v="1"/>
    <x v="5"/>
    <n v="10.578186596583439"/>
  </r>
  <r>
    <x v="2"/>
    <x v="0"/>
    <n v="68.577529566360056"/>
  </r>
  <r>
    <x v="2"/>
    <x v="1"/>
    <n v="36.448751642575559"/>
  </r>
  <r>
    <x v="2"/>
    <x v="2"/>
    <n v="53.564388961892249"/>
  </r>
  <r>
    <x v="2"/>
    <x v="3"/>
    <n v="41.1957950065703"/>
  </r>
  <r>
    <x v="2"/>
    <x v="4"/>
    <n v="25.410643889618921"/>
  </r>
  <r>
    <x v="2"/>
    <x v="5"/>
    <n v="17.017082785808149"/>
  </r>
  <r>
    <x v="3"/>
    <x v="0"/>
    <n v="65.93298291721419"/>
  </r>
  <r>
    <x v="3"/>
    <x v="1"/>
    <n v="44.546649145860712"/>
  </r>
  <r>
    <x v="3"/>
    <x v="2"/>
    <n v="50.26281208935611"/>
  </r>
  <r>
    <x v="3"/>
    <x v="3"/>
    <n v="37.122207621550587"/>
  </r>
  <r>
    <x v="3"/>
    <x v="4"/>
    <n v="50.755584756898813"/>
  </r>
  <r>
    <x v="3"/>
    <x v="5"/>
    <n v="14.553219448094611"/>
  </r>
  <r>
    <x v="4"/>
    <x v="0"/>
    <n v="70.877135348226005"/>
  </r>
  <r>
    <x v="4"/>
    <x v="1"/>
    <n v="55.634034165571613"/>
  </r>
  <r>
    <x v="4"/>
    <x v="2"/>
    <n v="46.616294349540077"/>
  </r>
  <r>
    <x v="4"/>
    <x v="3"/>
    <n v="42.706964520367933"/>
  </r>
  <r>
    <x v="4"/>
    <x v="4"/>
    <n v="44.513797634691187"/>
  </r>
  <r>
    <x v="4"/>
    <x v="5"/>
    <n v="5.5847568988173446"/>
  </r>
  <r>
    <x v="5"/>
    <x v="0"/>
    <n v="83.04862023653088"/>
  </r>
  <r>
    <x v="5"/>
    <x v="1"/>
    <n v="50.229960578186592"/>
  </r>
  <r>
    <x v="5"/>
    <x v="2"/>
    <n v="58.114323258869902"/>
  </r>
  <r>
    <x v="5"/>
    <x v="3"/>
    <n v="36.399474375821278"/>
  </r>
  <r>
    <x v="5"/>
    <x v="4"/>
    <n v="50.689881734559791"/>
  </r>
  <r>
    <x v="5"/>
    <x v="5"/>
    <n v="25.32851511169514"/>
  </r>
  <r>
    <x v="6"/>
    <x v="0"/>
    <n v="79.106438896189218"/>
  </r>
  <r>
    <x v="6"/>
    <x v="1"/>
    <n v="37.023653088042053"/>
  </r>
  <r>
    <x v="6"/>
    <x v="2"/>
    <n v="94.382391590013142"/>
  </r>
  <r>
    <x v="6"/>
    <x v="3"/>
    <n v="33.47568988173456"/>
  </r>
  <r>
    <x v="6"/>
    <x v="4"/>
    <n v="55.781865965834427"/>
  </r>
  <r>
    <x v="6"/>
    <x v="5"/>
    <n v="36.05453350854139"/>
  </r>
  <r>
    <x v="7"/>
    <x v="0"/>
    <n v="62.549277266754267"/>
  </r>
  <r>
    <x v="7"/>
    <x v="1"/>
    <n v="40.965834428383701"/>
  </r>
  <r>
    <x v="7"/>
    <x v="2"/>
    <n v="82.03022339027595"/>
  </r>
  <r>
    <x v="7"/>
    <x v="3"/>
    <n v="53.613666228646522"/>
  </r>
  <r>
    <x v="7"/>
    <x v="4"/>
    <n v="58.804204993429693"/>
  </r>
  <r>
    <x v="7"/>
    <x v="5"/>
    <n v="7.6215505913272006"/>
  </r>
  <r>
    <x v="8"/>
    <x v="0"/>
    <n v="95.170827858081466"/>
  </r>
  <r>
    <x v="8"/>
    <x v="1"/>
    <n v="37.450722733245733"/>
  </r>
  <r>
    <x v="8"/>
    <x v="2"/>
    <n v="53.646517739816026"/>
  </r>
  <r>
    <x v="8"/>
    <x v="3"/>
    <n v="63.731931668856767"/>
  </r>
  <r>
    <x v="8"/>
    <x v="4"/>
    <n v="71.550591327201047"/>
  </r>
  <r>
    <x v="8"/>
    <x v="5"/>
    <n v="78.219448094612346"/>
  </r>
  <r>
    <x v="9"/>
    <x v="0"/>
    <n v="100.44349540078839"/>
  </r>
  <r>
    <x v="9"/>
    <x v="1"/>
    <n v="46.550591327201047"/>
  </r>
  <r>
    <x v="9"/>
    <x v="2"/>
    <n v="76.445466491458603"/>
  </r>
  <r>
    <x v="9"/>
    <x v="3"/>
    <n v="61.432325886990803"/>
  </r>
  <r>
    <x v="9"/>
    <x v="4"/>
    <n v="90.02956636005257"/>
  </r>
  <r>
    <x v="9"/>
    <x v="5"/>
    <n v="34.95400788436268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D8DFD8C-5520-4BF5-B2B5-E7FDDB0A2DE3}" name="PivotTable47" cacheId="9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 colHeaderCaption="">
  <location ref="S30:AD38" firstHeaderRow="1" firstDataRow="2" firstDataCol="1"/>
  <pivotFields count="3">
    <pivotField axis="axisCol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8">
        <item x="0"/>
        <item x="1"/>
        <item m="1" x="6"/>
        <item x="2"/>
        <item x="3"/>
        <item x="4"/>
        <item x="5"/>
        <item t="default"/>
      </items>
    </pivotField>
    <pivotField dataField="1" numFmtId="166" showAll="0"/>
  </pivotFields>
  <rowFields count="1">
    <field x="1"/>
  </rowFields>
  <rowItems count="7">
    <i>
      <x/>
    </i>
    <i>
      <x v="1"/>
    </i>
    <i>
      <x v="3"/>
    </i>
    <i>
      <x v="4"/>
    </i>
    <i>
      <x v="5"/>
    </i>
    <i>
      <x v="6"/>
    </i>
    <i t="grand">
      <x/>
    </i>
  </rowItems>
  <colFields count="1">
    <field x="0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Pivot Summary" fld="2" subtotal="average" baseField="1" baseItem="0" numFmtId="166"/>
  </dataFields>
  <formats count="17">
    <format dxfId="71">
      <pivotArea field="1" type="button" dataOnly="0" labelOnly="1" outline="0" axis="axisRow" fieldPosition="0"/>
    </format>
    <format dxfId="69">
      <pivotArea dataOnly="0" labelOnly="1" fieldPosition="0">
        <references count="1">
          <reference field="0" count="0"/>
        </references>
      </pivotArea>
    </format>
    <format dxfId="67">
      <pivotArea dataOnly="0" labelOnly="1" grandCol="1" outline="0" fieldPosition="0"/>
    </format>
    <format dxfId="65">
      <pivotArea outline="0" collapsedLevelsAreSubtotals="1" fieldPosition="0"/>
    </format>
    <format dxfId="64">
      <pivotArea field="1" type="button" dataOnly="0" labelOnly="1" outline="0" axis="axisRow" fieldPosition="0"/>
    </format>
    <format dxfId="63">
      <pivotArea dataOnly="0" labelOnly="1" fieldPosition="0">
        <references count="1">
          <reference field="1" count="0"/>
        </references>
      </pivotArea>
    </format>
    <format dxfId="62">
      <pivotArea dataOnly="0" labelOnly="1" grandRow="1" outline="0" fieldPosition="0"/>
    </format>
    <format dxfId="61">
      <pivotArea dataOnly="0" labelOnly="1" fieldPosition="0">
        <references count="1">
          <reference field="0" count="0"/>
        </references>
      </pivotArea>
    </format>
    <format dxfId="60">
      <pivotArea dataOnly="0" labelOnly="1" grandCol="1" outline="0" fieldPosition="0"/>
    </format>
    <format dxfId="59">
      <pivotArea outline="0" collapsedLevelsAreSubtotals="1" fieldPosition="0"/>
    </format>
    <format dxfId="57">
      <pivotArea dataOnly="0" labelOnly="1" fieldPosition="0">
        <references count="1">
          <reference field="1" count="0"/>
        </references>
      </pivotArea>
    </format>
    <format dxfId="55">
      <pivotArea dataOnly="0" labelOnly="1" grandRow="1" outline="0" fieldPosition="0"/>
    </format>
    <format dxfId="53">
      <pivotArea grandRow="1" outline="0" collapsedLevelsAreSubtotals="1" fieldPosition="0"/>
    </format>
    <format dxfId="52">
      <pivotArea dataOnly="0" labelOnly="1" grandRow="1" outline="0" fieldPosition="0"/>
    </format>
    <format dxfId="42">
      <pivotArea type="origin" dataOnly="0" labelOnly="1" outline="0" fieldPosition="0"/>
    </format>
    <format dxfId="40">
      <pivotArea field="0" type="button" dataOnly="0" labelOnly="1" outline="0" axis="axisCol" fieldPosition="0"/>
    </format>
    <format dxfId="38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E8BDBA-A87A-4D2D-8324-DAC70A3E7BC7}" name="Table1" displayName="Table1" ref="S43:U103" totalsRowShown="0" headerRowDxfId="72" dataDxfId="74" headerRowBorderDxfId="73" tableBorderDxfId="75">
  <autoFilter ref="S43:U103" xr:uid="{5BE8BDBA-A87A-4D2D-8324-DAC70A3E7BC7}"/>
  <tableColumns count="3">
    <tableColumn id="1" xr3:uid="{98E02707-372D-404F-A5D2-C3C7AC7CC314}" name="In-Service Year" dataDxfId="2"/>
    <tableColumn id="2" xr3:uid="{61D5192B-0FCA-4814-93BC-DBC208D4823E}" name="Region" dataDxfId="1"/>
    <tableColumn id="3" xr3:uid="{1BA38AC3-3C0B-4AAA-AC36-FF016037ED2C}" name="Medi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Portfolio Brand">
      <a:dk1>
        <a:srgbClr val="023047"/>
      </a:dk1>
      <a:lt1>
        <a:srgbClr val="FFFFFF"/>
      </a:lt1>
      <a:dk2>
        <a:srgbClr val="023047"/>
      </a:dk2>
      <a:lt2>
        <a:srgbClr val="FFFFFF"/>
      </a:lt2>
      <a:accent1>
        <a:srgbClr val="B38A10"/>
      </a:accent1>
      <a:accent2>
        <a:srgbClr val="588756"/>
      </a:accent2>
      <a:accent3>
        <a:srgbClr val="000000"/>
      </a:accent3>
      <a:accent4>
        <a:srgbClr val="023047"/>
      </a:accent4>
      <a:accent5>
        <a:srgbClr val="A02B93"/>
      </a:accent5>
      <a:accent6>
        <a:srgbClr val="4EA72E"/>
      </a:accent6>
      <a:hlink>
        <a:srgbClr val="023047"/>
      </a:hlink>
      <a:folHlink>
        <a:srgbClr val="96607D"/>
      </a:folHlink>
    </a:clrScheme>
    <a:fontScheme name="Portfolio Fonts">
      <a:majorFont>
        <a:latin typeface="IBM Plex Sans"/>
        <a:ea typeface=""/>
        <a:cs typeface=""/>
      </a:majorFont>
      <a:minorFont>
        <a:latin typeface="IBM Plex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B2:M233"/>
  <sheetViews>
    <sheetView tabSelected="1" workbookViewId="0">
      <selection activeCell="S13" sqref="S13"/>
    </sheetView>
  </sheetViews>
  <sheetFormatPr defaultRowHeight="15" x14ac:dyDescent="0.25"/>
  <cols>
    <col min="1" max="1" width="2.77734375" customWidth="1"/>
    <col min="10" max="10" width="2.77734375" style="49" customWidth="1"/>
    <col min="11" max="11" width="20.6640625" bestFit="1" customWidth="1"/>
    <col min="12" max="12" width="23" bestFit="1" customWidth="1"/>
    <col min="13" max="13" width="19.44140625" bestFit="1" customWidth="1"/>
  </cols>
  <sheetData>
    <row r="2" spans="2:13" x14ac:dyDescent="0.25">
      <c r="B2" s="1" t="s">
        <v>134</v>
      </c>
      <c r="K2" s="1" t="s">
        <v>135</v>
      </c>
    </row>
    <row r="3" spans="2:13" s="49" customFormat="1" x14ac:dyDescent="0.25"/>
    <row r="4" spans="2:13" ht="16.5" thickBot="1" x14ac:dyDescent="0.3">
      <c r="B4" s="46" t="s">
        <v>119</v>
      </c>
      <c r="K4" s="46" t="s">
        <v>120</v>
      </c>
    </row>
    <row r="5" spans="2:13" ht="15.75" thickBot="1" x14ac:dyDescent="0.3">
      <c r="K5" s="32" t="s">
        <v>12</v>
      </c>
      <c r="L5" s="48" t="s">
        <v>10</v>
      </c>
      <c r="M5" s="33" t="s">
        <v>11</v>
      </c>
    </row>
    <row r="6" spans="2:13" x14ac:dyDescent="0.25">
      <c r="K6" s="15" t="s">
        <v>13</v>
      </c>
      <c r="L6" s="16" t="s">
        <v>15</v>
      </c>
      <c r="M6" s="4" t="s">
        <v>16</v>
      </c>
    </row>
    <row r="7" spans="2:13" x14ac:dyDescent="0.25">
      <c r="K7" s="17" t="s">
        <v>14</v>
      </c>
      <c r="L7" s="13" t="s">
        <v>17</v>
      </c>
      <c r="M7" s="6" t="s">
        <v>18</v>
      </c>
    </row>
    <row r="8" spans="2:13" x14ac:dyDescent="0.25">
      <c r="K8" s="17" t="s">
        <v>19</v>
      </c>
      <c r="L8" s="13" t="s">
        <v>20</v>
      </c>
      <c r="M8" s="6" t="s">
        <v>21</v>
      </c>
    </row>
    <row r="9" spans="2:13" x14ac:dyDescent="0.25">
      <c r="K9" s="17" t="s">
        <v>25</v>
      </c>
      <c r="L9" s="30" t="s">
        <v>22</v>
      </c>
      <c r="M9" s="6" t="s">
        <v>23</v>
      </c>
    </row>
    <row r="10" spans="2:13" x14ac:dyDescent="0.25">
      <c r="K10" s="17" t="s">
        <v>24</v>
      </c>
      <c r="L10" s="34">
        <f>30000*150</f>
        <v>4500000</v>
      </c>
      <c r="M10" s="35">
        <f>200000*3</f>
        <v>600000</v>
      </c>
    </row>
    <row r="11" spans="2:13" ht="15.75" thickBot="1" x14ac:dyDescent="0.3">
      <c r="K11" s="19" t="s">
        <v>27</v>
      </c>
      <c r="L11" s="20" t="s">
        <v>26</v>
      </c>
      <c r="M11" s="8" t="s">
        <v>21</v>
      </c>
    </row>
    <row r="13" spans="2:13" ht="16.5" thickBot="1" x14ac:dyDescent="0.3">
      <c r="K13" s="46" t="s">
        <v>133</v>
      </c>
    </row>
    <row r="14" spans="2:13" ht="15.75" thickBot="1" x14ac:dyDescent="0.3">
      <c r="K14" s="43" t="s">
        <v>95</v>
      </c>
      <c r="L14" s="44" t="s">
        <v>93</v>
      </c>
      <c r="M14" s="45" t="s">
        <v>94</v>
      </c>
    </row>
    <row r="15" spans="2:13" x14ac:dyDescent="0.25">
      <c r="K15" s="15">
        <v>1</v>
      </c>
      <c r="L15" s="16" t="s">
        <v>96</v>
      </c>
      <c r="M15" s="4" t="s">
        <v>112</v>
      </c>
    </row>
    <row r="16" spans="2:13" x14ac:dyDescent="0.25">
      <c r="K16" s="17">
        <f>K15+1</f>
        <v>2</v>
      </c>
      <c r="L16" s="13" t="s">
        <v>97</v>
      </c>
      <c r="M16" s="6" t="s">
        <v>112</v>
      </c>
    </row>
    <row r="17" spans="2:13" x14ac:dyDescent="0.25">
      <c r="K17" s="17">
        <f t="shared" ref="K17:K30" si="0">K16+1</f>
        <v>3</v>
      </c>
      <c r="L17" s="13" t="s">
        <v>98</v>
      </c>
      <c r="M17" s="6" t="s">
        <v>112</v>
      </c>
    </row>
    <row r="18" spans="2:13" x14ac:dyDescent="0.25">
      <c r="K18" s="17">
        <f t="shared" si="0"/>
        <v>4</v>
      </c>
      <c r="L18" s="13" t="s">
        <v>99</v>
      </c>
      <c r="M18" s="6" t="s">
        <v>113</v>
      </c>
    </row>
    <row r="19" spans="2:13" x14ac:dyDescent="0.25">
      <c r="K19" s="17">
        <f t="shared" si="0"/>
        <v>5</v>
      </c>
      <c r="L19" s="13" t="s">
        <v>100</v>
      </c>
      <c r="M19" s="6" t="s">
        <v>113</v>
      </c>
    </row>
    <row r="20" spans="2:13" x14ac:dyDescent="0.25">
      <c r="K20" s="17">
        <f t="shared" si="0"/>
        <v>6</v>
      </c>
      <c r="L20" s="13" t="s">
        <v>101</v>
      </c>
      <c r="M20" s="6" t="s">
        <v>113</v>
      </c>
    </row>
    <row r="21" spans="2:13" ht="15.75" x14ac:dyDescent="0.25">
      <c r="B21" s="46" t="s">
        <v>118</v>
      </c>
      <c r="K21" s="17">
        <f t="shared" si="0"/>
        <v>7</v>
      </c>
      <c r="L21" s="13" t="s">
        <v>102</v>
      </c>
      <c r="M21" s="6" t="s">
        <v>113</v>
      </c>
    </row>
    <row r="22" spans="2:13" x14ac:dyDescent="0.25">
      <c r="K22" s="17">
        <f t="shared" si="0"/>
        <v>8</v>
      </c>
      <c r="L22" s="13" t="s">
        <v>103</v>
      </c>
      <c r="M22" s="6" t="s">
        <v>113</v>
      </c>
    </row>
    <row r="23" spans="2:13" x14ac:dyDescent="0.25">
      <c r="K23" s="17">
        <f t="shared" si="0"/>
        <v>9</v>
      </c>
      <c r="L23" s="13" t="s">
        <v>104</v>
      </c>
      <c r="M23" s="6" t="s">
        <v>113</v>
      </c>
    </row>
    <row r="24" spans="2:13" x14ac:dyDescent="0.25">
      <c r="K24" s="17">
        <f t="shared" si="0"/>
        <v>10</v>
      </c>
      <c r="L24" s="13" t="s">
        <v>105</v>
      </c>
      <c r="M24" s="6" t="s">
        <v>113</v>
      </c>
    </row>
    <row r="25" spans="2:13" x14ac:dyDescent="0.25">
      <c r="K25" s="17">
        <f t="shared" si="0"/>
        <v>11</v>
      </c>
      <c r="L25" s="13" t="s">
        <v>106</v>
      </c>
      <c r="M25" s="6" t="s">
        <v>113</v>
      </c>
    </row>
    <row r="26" spans="2:13" x14ac:dyDescent="0.25">
      <c r="K26" s="17">
        <f t="shared" si="0"/>
        <v>12</v>
      </c>
      <c r="L26" s="13" t="s">
        <v>107</v>
      </c>
      <c r="M26" s="6" t="s">
        <v>113</v>
      </c>
    </row>
    <row r="27" spans="2:13" x14ac:dyDescent="0.25">
      <c r="K27" s="17">
        <f t="shared" si="0"/>
        <v>13</v>
      </c>
      <c r="L27" s="13" t="s">
        <v>108</v>
      </c>
      <c r="M27" s="6" t="s">
        <v>114</v>
      </c>
    </row>
    <row r="28" spans="2:13" x14ac:dyDescent="0.25">
      <c r="K28" s="17">
        <f t="shared" si="0"/>
        <v>14</v>
      </c>
      <c r="L28" s="13" t="s">
        <v>109</v>
      </c>
      <c r="M28" s="6" t="s">
        <v>114</v>
      </c>
    </row>
    <row r="29" spans="2:13" x14ac:dyDescent="0.25">
      <c r="K29" s="17">
        <f t="shared" si="0"/>
        <v>15</v>
      </c>
      <c r="L29" s="13" t="s">
        <v>110</v>
      </c>
      <c r="M29" s="6" t="s">
        <v>114</v>
      </c>
    </row>
    <row r="30" spans="2:13" ht="15.75" thickBot="1" x14ac:dyDescent="0.3">
      <c r="K30" s="19">
        <f t="shared" si="0"/>
        <v>16</v>
      </c>
      <c r="L30" s="20" t="s">
        <v>111</v>
      </c>
      <c r="M30" s="8" t="s">
        <v>114</v>
      </c>
    </row>
    <row r="38" spans="2:2" ht="15.75" x14ac:dyDescent="0.25">
      <c r="B38" s="46" t="s">
        <v>121</v>
      </c>
    </row>
    <row r="55" spans="2:3" x14ac:dyDescent="0.25">
      <c r="B55" s="1" t="s">
        <v>0</v>
      </c>
      <c r="C55" t="s">
        <v>28</v>
      </c>
    </row>
    <row r="57" spans="2:3" ht="15.75" x14ac:dyDescent="0.25">
      <c r="B57" s="46" t="s">
        <v>122</v>
      </c>
    </row>
    <row r="74" spans="2:2" ht="15.75" x14ac:dyDescent="0.25">
      <c r="B74" s="46" t="s">
        <v>123</v>
      </c>
    </row>
    <row r="91" spans="2:2" ht="15.75" x14ac:dyDescent="0.25">
      <c r="B91" s="46" t="s">
        <v>124</v>
      </c>
    </row>
    <row r="112" spans="2:3" x14ac:dyDescent="0.25">
      <c r="B112" s="1" t="s">
        <v>0</v>
      </c>
      <c r="C112" t="s">
        <v>142</v>
      </c>
    </row>
    <row r="114" spans="2:2" ht="15.75" x14ac:dyDescent="0.25">
      <c r="B114" s="46" t="s">
        <v>125</v>
      </c>
    </row>
    <row r="131" spans="2:2" ht="15.75" x14ac:dyDescent="0.25">
      <c r="B131" s="46" t="s">
        <v>126</v>
      </c>
    </row>
    <row r="148" spans="2:2" ht="15.75" x14ac:dyDescent="0.25">
      <c r="B148" s="46" t="s">
        <v>127</v>
      </c>
    </row>
    <row r="165" spans="2:2" ht="15.75" x14ac:dyDescent="0.25">
      <c r="B165" s="46" t="s">
        <v>128</v>
      </c>
    </row>
    <row r="182" spans="2:2" ht="15.75" x14ac:dyDescent="0.25">
      <c r="B182" s="46" t="s">
        <v>129</v>
      </c>
    </row>
    <row r="199" spans="2:2" x14ac:dyDescent="0.25">
      <c r="B199" s="47" t="s">
        <v>130</v>
      </c>
    </row>
    <row r="216" spans="2:2" x14ac:dyDescent="0.25">
      <c r="B216" s="47" t="s">
        <v>131</v>
      </c>
    </row>
    <row r="233" spans="2:2" ht="15.75" x14ac:dyDescent="0.25">
      <c r="B233" s="46" t="s">
        <v>132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31A1A-C677-4AFE-A9FE-6AA32B4F9A07}">
  <sheetPr>
    <tabColor theme="4"/>
  </sheetPr>
  <dimension ref="B2:H32"/>
  <sheetViews>
    <sheetView workbookViewId="0">
      <selection activeCell="K10" sqref="K10"/>
    </sheetView>
  </sheetViews>
  <sheetFormatPr defaultRowHeight="15" x14ac:dyDescent="0.25"/>
  <cols>
    <col min="1" max="1" width="2.77734375" customWidth="1"/>
    <col min="3" max="5" width="10" bestFit="1" customWidth="1"/>
    <col min="7" max="7" width="10.77734375" bestFit="1" customWidth="1"/>
    <col min="8" max="8" width="13.44140625" bestFit="1" customWidth="1"/>
  </cols>
  <sheetData>
    <row r="2" spans="2:2" x14ac:dyDescent="0.25">
      <c r="B2" s="1" t="s">
        <v>92</v>
      </c>
    </row>
    <row r="19" spans="2:8" s="49" customFormat="1" x14ac:dyDescent="0.25">
      <c r="B19" s="49" t="s">
        <v>136</v>
      </c>
    </row>
    <row r="21" spans="2:8" ht="15.75" thickBot="1" x14ac:dyDescent="0.3">
      <c r="B21" s="1" t="s">
        <v>92</v>
      </c>
    </row>
    <row r="22" spans="2:8" ht="15.75" thickBot="1" x14ac:dyDescent="0.3">
      <c r="B22" s="40" t="s">
        <v>2</v>
      </c>
      <c r="C22" s="41" t="s">
        <v>89</v>
      </c>
      <c r="D22" s="41" t="s">
        <v>90</v>
      </c>
      <c r="E22" s="42" t="s">
        <v>91</v>
      </c>
    </row>
    <row r="23" spans="2:8" ht="15.75" thickBot="1" x14ac:dyDescent="0.3">
      <c r="B23" s="21">
        <v>1</v>
      </c>
      <c r="C23" s="22">
        <f>_xlfn.XLOOKUP(C$22,$G$24:$G$26,$H$24:$H$26)*$B23</f>
        <v>17003160</v>
      </c>
      <c r="D23" s="22">
        <f>_xlfn.XLOOKUP(D$22,$G$24:$G$26,$H$24:$H$26)*$B23</f>
        <v>22416839.999999996</v>
      </c>
      <c r="E23" s="23">
        <f>_xlfn.XLOOKUP(E$22,$G$24:$G$26,$H$24:$H$26)*$B23</f>
        <v>49380119.999999993</v>
      </c>
      <c r="G23" s="1" t="s">
        <v>64</v>
      </c>
    </row>
    <row r="24" spans="2:8" x14ac:dyDescent="0.25">
      <c r="B24" s="17">
        <v>2</v>
      </c>
      <c r="C24" s="13">
        <f>_xlfn.XLOOKUP(C$22,$G$24:$G$26,$H$24:$H$26)*$B24</f>
        <v>34006320</v>
      </c>
      <c r="D24" s="13">
        <f>_xlfn.XLOOKUP(D$22,$G$24:$G$26,$H$24:$H$26)*$B24</f>
        <v>44833679.999999993</v>
      </c>
      <c r="E24" s="6">
        <f>_xlfn.XLOOKUP(E$22,$G$24:$G$26,$H$24:$H$26)*$B24</f>
        <v>98760239.999999985</v>
      </c>
      <c r="G24" s="75" t="s">
        <v>89</v>
      </c>
      <c r="H24" s="104">
        <v>17003160</v>
      </c>
    </row>
    <row r="25" spans="2:8" x14ac:dyDescent="0.25">
      <c r="B25" s="17">
        <v>3</v>
      </c>
      <c r="C25" s="13">
        <f>_xlfn.XLOOKUP(C$22,$G$24:$G$26,$H$24:$H$26)*$B25</f>
        <v>51009480</v>
      </c>
      <c r="D25" s="13">
        <f>_xlfn.XLOOKUP(D$22,$G$24:$G$26,$H$24:$H$26)*$B25</f>
        <v>67250519.999999985</v>
      </c>
      <c r="E25" s="6">
        <f>_xlfn.XLOOKUP(E$22,$G$24:$G$26,$H$24:$H$26)*$B25</f>
        <v>148140359.99999997</v>
      </c>
      <c r="G25" s="77" t="s">
        <v>90</v>
      </c>
      <c r="H25" s="105">
        <v>22416839.999999996</v>
      </c>
    </row>
    <row r="26" spans="2:8" ht="15.75" thickBot="1" x14ac:dyDescent="0.3">
      <c r="B26" s="17">
        <f>B25+1</f>
        <v>4</v>
      </c>
      <c r="C26" s="13">
        <f>_xlfn.XLOOKUP(C$22,$G$24:$G$26,$H$24:$H$26)*$B26</f>
        <v>68012640</v>
      </c>
      <c r="D26" s="13">
        <f>_xlfn.XLOOKUP(D$22,$G$24:$G$26,$H$24:$H$26)*$B26</f>
        <v>89667359.999999985</v>
      </c>
      <c r="E26" s="6">
        <f>_xlfn.XLOOKUP(E$22,$G$24:$G$26,$H$24:$H$26)*$B26</f>
        <v>197520479.99999997</v>
      </c>
      <c r="G26" s="79" t="s">
        <v>91</v>
      </c>
      <c r="H26" s="106">
        <v>49380119.999999993</v>
      </c>
    </row>
    <row r="27" spans="2:8" x14ac:dyDescent="0.25">
      <c r="B27" s="17">
        <f t="shared" ref="B27:B32" si="0">B26+1</f>
        <v>5</v>
      </c>
      <c r="C27" s="13">
        <f>_xlfn.XLOOKUP(C$22,$G$24:$G$26,$H$24:$H$26)*$B27</f>
        <v>85015800</v>
      </c>
      <c r="D27" s="13">
        <f>_xlfn.XLOOKUP(D$22,$G$24:$G$26,$H$24:$H$26)*$B27</f>
        <v>112084199.99999999</v>
      </c>
      <c r="E27" s="6">
        <f>_xlfn.XLOOKUP(E$22,$G$24:$G$26,$H$24:$H$26)*$B27</f>
        <v>246900599.99999997</v>
      </c>
    </row>
    <row r="28" spans="2:8" x14ac:dyDescent="0.25">
      <c r="B28" s="17">
        <f t="shared" si="0"/>
        <v>6</v>
      </c>
      <c r="C28" s="13">
        <f>_xlfn.XLOOKUP(C$22,$G$24:$G$26,$H$24:$H$26)*$B28</f>
        <v>102018960</v>
      </c>
      <c r="D28" s="13">
        <f>_xlfn.XLOOKUP(D$22,$G$24:$G$26,$H$24:$H$26)*$B28</f>
        <v>134501039.99999997</v>
      </c>
      <c r="E28" s="6">
        <f>_xlfn.XLOOKUP(E$22,$G$24:$G$26,$H$24:$H$26)*$B28</f>
        <v>296280719.99999994</v>
      </c>
    </row>
    <row r="29" spans="2:8" x14ac:dyDescent="0.25">
      <c r="B29" s="17">
        <f t="shared" si="0"/>
        <v>7</v>
      </c>
      <c r="C29" s="13">
        <f>_xlfn.XLOOKUP(C$22,$G$24:$G$26,$H$24:$H$26)*$B29</f>
        <v>119022120</v>
      </c>
      <c r="D29" s="13">
        <f>_xlfn.XLOOKUP(D$22,$G$24:$G$26,$H$24:$H$26)*$B29</f>
        <v>156917879.99999997</v>
      </c>
      <c r="E29" s="6">
        <f>_xlfn.XLOOKUP(E$22,$G$24:$G$26,$H$24:$H$26)*$B29</f>
        <v>345660839.99999994</v>
      </c>
    </row>
    <row r="30" spans="2:8" x14ac:dyDescent="0.25">
      <c r="B30" s="17">
        <f t="shared" si="0"/>
        <v>8</v>
      </c>
      <c r="C30" s="13">
        <f>_xlfn.XLOOKUP(C$22,$G$24:$G$26,$H$24:$H$26)*$B30</f>
        <v>136025280</v>
      </c>
      <c r="D30" s="13">
        <f>_xlfn.XLOOKUP(D$22,$G$24:$G$26,$H$24:$H$26)*$B30</f>
        <v>179334719.99999997</v>
      </c>
      <c r="E30" s="6">
        <f>_xlfn.XLOOKUP(E$22,$G$24:$G$26,$H$24:$H$26)*$B30</f>
        <v>395040959.99999994</v>
      </c>
    </row>
    <row r="31" spans="2:8" x14ac:dyDescent="0.25">
      <c r="B31" s="17">
        <f t="shared" si="0"/>
        <v>9</v>
      </c>
      <c r="C31" s="13">
        <f>_xlfn.XLOOKUP(C$22,$G$24:$G$26,$H$24:$H$26)*$B31</f>
        <v>153028440</v>
      </c>
      <c r="D31" s="13">
        <f>_xlfn.XLOOKUP(D$22,$G$24:$G$26,$H$24:$H$26)*$B31</f>
        <v>201751559.99999997</v>
      </c>
      <c r="E31" s="6">
        <f>_xlfn.XLOOKUP(E$22,$G$24:$G$26,$H$24:$H$26)*$B31</f>
        <v>444421079.99999994</v>
      </c>
    </row>
    <row r="32" spans="2:8" ht="15.75" thickBot="1" x14ac:dyDescent="0.3">
      <c r="B32" s="19">
        <f t="shared" si="0"/>
        <v>10</v>
      </c>
      <c r="C32" s="20">
        <f>_xlfn.XLOOKUP(C$22,$G$24:$G$26,$H$24:$H$26)*$B32</f>
        <v>170031600</v>
      </c>
      <c r="D32" s="20">
        <f>_xlfn.XLOOKUP(D$22,$G$24:$G$26,$H$24:$H$26)*$B32</f>
        <v>224168399.99999997</v>
      </c>
      <c r="E32" s="8">
        <f>_xlfn.XLOOKUP(E$22,$G$24:$G$26,$H$24:$H$26)*$B32</f>
        <v>493801199.99999994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55B2B-63C1-4024-9CA7-4D2256FBE908}">
  <sheetPr>
    <tabColor theme="4"/>
  </sheetPr>
  <dimension ref="B2:G23"/>
  <sheetViews>
    <sheetView topLeftCell="A21" workbookViewId="0">
      <selection activeCell="J43" sqref="J43"/>
    </sheetView>
  </sheetViews>
  <sheetFormatPr defaultRowHeight="15" x14ac:dyDescent="0.25"/>
  <cols>
    <col min="1" max="1" width="2.77734375" customWidth="1"/>
    <col min="2" max="2" width="9.88671875" bestFit="1" customWidth="1"/>
    <col min="3" max="3" width="23" bestFit="1" customWidth="1"/>
    <col min="4" max="4" width="10.77734375" customWidth="1"/>
  </cols>
  <sheetData>
    <row r="2" spans="2:7" ht="15.75" thickBot="1" x14ac:dyDescent="0.3">
      <c r="B2" s="1" t="s">
        <v>116</v>
      </c>
    </row>
    <row r="3" spans="2:7" ht="15.75" thickBot="1" x14ac:dyDescent="0.3">
      <c r="B3" s="43" t="s">
        <v>95</v>
      </c>
      <c r="C3" s="44" t="s">
        <v>93</v>
      </c>
      <c r="D3" s="45" t="s">
        <v>94</v>
      </c>
    </row>
    <row r="4" spans="2:7" x14ac:dyDescent="0.25">
      <c r="B4" s="15">
        <v>1</v>
      </c>
      <c r="C4" s="16" t="s">
        <v>96</v>
      </c>
      <c r="D4" s="4" t="s">
        <v>112</v>
      </c>
    </row>
    <row r="5" spans="2:7" x14ac:dyDescent="0.25">
      <c r="B5" s="17">
        <f>B4+1</f>
        <v>2</v>
      </c>
      <c r="C5" s="13" t="s">
        <v>97</v>
      </c>
      <c r="D5" s="6" t="s">
        <v>112</v>
      </c>
    </row>
    <row r="6" spans="2:7" x14ac:dyDescent="0.25">
      <c r="B6" s="17">
        <f t="shared" ref="B6:B19" si="0">B5+1</f>
        <v>3</v>
      </c>
      <c r="C6" s="13" t="s">
        <v>98</v>
      </c>
      <c r="D6" s="6" t="s">
        <v>112</v>
      </c>
    </row>
    <row r="7" spans="2:7" x14ac:dyDescent="0.25">
      <c r="B7" s="17">
        <f t="shared" si="0"/>
        <v>4</v>
      </c>
      <c r="C7" s="13" t="s">
        <v>99</v>
      </c>
      <c r="D7" s="6" t="s">
        <v>113</v>
      </c>
    </row>
    <row r="8" spans="2:7" x14ac:dyDescent="0.25">
      <c r="B8" s="17">
        <f t="shared" si="0"/>
        <v>5</v>
      </c>
      <c r="C8" s="13" t="s">
        <v>100</v>
      </c>
      <c r="D8" s="6" t="s">
        <v>113</v>
      </c>
    </row>
    <row r="9" spans="2:7" x14ac:dyDescent="0.25">
      <c r="B9" s="17">
        <f t="shared" si="0"/>
        <v>6</v>
      </c>
      <c r="C9" s="13" t="s">
        <v>101</v>
      </c>
      <c r="D9" s="6" t="s">
        <v>113</v>
      </c>
    </row>
    <row r="10" spans="2:7" x14ac:dyDescent="0.25">
      <c r="B10" s="17">
        <f t="shared" si="0"/>
        <v>7</v>
      </c>
      <c r="C10" s="13" t="s">
        <v>102</v>
      </c>
      <c r="D10" s="6" t="s">
        <v>113</v>
      </c>
    </row>
    <row r="11" spans="2:7" x14ac:dyDescent="0.25">
      <c r="B11" s="17">
        <f t="shared" si="0"/>
        <v>8</v>
      </c>
      <c r="C11" s="13" t="s">
        <v>103</v>
      </c>
      <c r="D11" s="6" t="s">
        <v>113</v>
      </c>
    </row>
    <row r="12" spans="2:7" x14ac:dyDescent="0.25">
      <c r="B12" s="17">
        <f t="shared" si="0"/>
        <v>9</v>
      </c>
      <c r="C12" s="13" t="s">
        <v>104</v>
      </c>
      <c r="D12" s="6" t="s">
        <v>113</v>
      </c>
    </row>
    <row r="13" spans="2:7" x14ac:dyDescent="0.25">
      <c r="B13" s="17">
        <f t="shared" si="0"/>
        <v>10</v>
      </c>
      <c r="C13" s="13" t="s">
        <v>105</v>
      </c>
      <c r="D13" s="6" t="s">
        <v>113</v>
      </c>
    </row>
    <row r="14" spans="2:7" x14ac:dyDescent="0.25">
      <c r="B14" s="17">
        <f t="shared" si="0"/>
        <v>11</v>
      </c>
      <c r="C14" s="13" t="s">
        <v>106</v>
      </c>
      <c r="D14" s="6" t="s">
        <v>113</v>
      </c>
    </row>
    <row r="15" spans="2:7" x14ac:dyDescent="0.25">
      <c r="B15" s="17">
        <f t="shared" si="0"/>
        <v>12</v>
      </c>
      <c r="C15" s="13" t="s">
        <v>107</v>
      </c>
      <c r="D15" s="6" t="s">
        <v>113</v>
      </c>
    </row>
    <row r="16" spans="2:7" x14ac:dyDescent="0.25">
      <c r="B16" s="17">
        <f t="shared" si="0"/>
        <v>13</v>
      </c>
      <c r="C16" s="13" t="s">
        <v>108</v>
      </c>
      <c r="D16" s="6" t="s">
        <v>114</v>
      </c>
      <c r="G16" t="s">
        <v>151</v>
      </c>
    </row>
    <row r="17" spans="2:4" x14ac:dyDescent="0.25">
      <c r="B17" s="17">
        <f t="shared" si="0"/>
        <v>14</v>
      </c>
      <c r="C17" s="13" t="s">
        <v>109</v>
      </c>
      <c r="D17" s="6" t="s">
        <v>114</v>
      </c>
    </row>
    <row r="18" spans="2:4" x14ac:dyDescent="0.25">
      <c r="B18" s="17">
        <f t="shared" si="0"/>
        <v>15</v>
      </c>
      <c r="C18" s="13" t="s">
        <v>110</v>
      </c>
      <c r="D18" s="6" t="s">
        <v>114</v>
      </c>
    </row>
    <row r="19" spans="2:4" ht="15.75" thickBot="1" x14ac:dyDescent="0.3">
      <c r="B19" s="19">
        <f t="shared" si="0"/>
        <v>16</v>
      </c>
      <c r="C19" s="20" t="s">
        <v>111</v>
      </c>
      <c r="D19" s="8" t="s">
        <v>114</v>
      </c>
    </row>
    <row r="20" spans="2:4" x14ac:dyDescent="0.25">
      <c r="B20" s="24"/>
      <c r="C20" s="24"/>
      <c r="D20" s="24"/>
    </row>
    <row r="21" spans="2:4" s="49" customFormat="1" x14ac:dyDescent="0.25">
      <c r="B21" s="108" t="s">
        <v>136</v>
      </c>
      <c r="C21" s="107"/>
      <c r="D21" s="107"/>
    </row>
    <row r="23" spans="2:4" x14ac:dyDescent="0.25">
      <c r="B23" s="1" t="s">
        <v>0</v>
      </c>
      <c r="C23" t="s">
        <v>115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0DFF-7CE8-4D4C-AEB5-580D978273B2}">
  <sheetPr>
    <tabColor theme="6"/>
  </sheetPr>
  <dimension ref="A1"/>
  <sheetViews>
    <sheetView workbookViewId="0">
      <selection activeCell="I12" sqref="I1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E76A2-E126-4422-8C15-14D3F9EE589A}">
  <sheetPr codeName="Sheet2">
    <tabColor theme="4"/>
  </sheetPr>
  <dimension ref="B2:N31"/>
  <sheetViews>
    <sheetView workbookViewId="0">
      <selection activeCell="L5" sqref="L5"/>
    </sheetView>
  </sheetViews>
  <sheetFormatPr defaultRowHeight="15" x14ac:dyDescent="0.25"/>
  <cols>
    <col min="1" max="1" width="2.109375" customWidth="1"/>
    <col min="10" max="10" width="5" bestFit="1" customWidth="1"/>
    <col min="11" max="11" width="13.5546875" bestFit="1" customWidth="1"/>
  </cols>
  <sheetData>
    <row r="2" spans="2:2" x14ac:dyDescent="0.25">
      <c r="B2" s="10" t="s">
        <v>5</v>
      </c>
    </row>
    <row r="19" spans="2:14" s="49" customFormat="1" x14ac:dyDescent="0.25">
      <c r="B19" s="50" t="s">
        <v>136</v>
      </c>
    </row>
    <row r="20" spans="2:14" ht="15.75" thickBot="1" x14ac:dyDescent="0.3"/>
    <row r="21" spans="2:14" ht="15.75" thickBot="1" x14ac:dyDescent="0.3">
      <c r="B21" s="1" t="s">
        <v>0</v>
      </c>
      <c r="C21" t="s">
        <v>1</v>
      </c>
      <c r="J21" s="11" t="s">
        <v>2</v>
      </c>
      <c r="K21" s="9" t="s">
        <v>3</v>
      </c>
      <c r="M21" s="57" t="s">
        <v>4</v>
      </c>
      <c r="N21" s="58">
        <v>0.111</v>
      </c>
    </row>
    <row r="22" spans="2:14" x14ac:dyDescent="0.25">
      <c r="J22" s="3">
        <v>2025</v>
      </c>
      <c r="K22" s="54">
        <v>269.79000000000002</v>
      </c>
    </row>
    <row r="23" spans="2:14" x14ac:dyDescent="0.25">
      <c r="J23" s="5">
        <f>J22+1</f>
        <v>2026</v>
      </c>
      <c r="K23" s="55">
        <v>300.64</v>
      </c>
    </row>
    <row r="24" spans="2:14" x14ac:dyDescent="0.25">
      <c r="J24" s="5">
        <f t="shared" ref="J24:J31" si="0">J23+1</f>
        <v>2027</v>
      </c>
      <c r="K24" s="55">
        <f>K23*(1+$N$21)</f>
        <v>334.01103999999998</v>
      </c>
    </row>
    <row r="25" spans="2:14" x14ac:dyDescent="0.25">
      <c r="J25" s="5">
        <f t="shared" si="0"/>
        <v>2028</v>
      </c>
      <c r="K25" s="55">
        <f t="shared" ref="K25:K31" si="1">K24*(1+$N$21)</f>
        <v>371.08626543999998</v>
      </c>
    </row>
    <row r="26" spans="2:14" x14ac:dyDescent="0.25">
      <c r="J26" s="5">
        <f t="shared" si="0"/>
        <v>2029</v>
      </c>
      <c r="K26" s="55">
        <f t="shared" si="1"/>
        <v>412.27684090383997</v>
      </c>
    </row>
    <row r="27" spans="2:14" x14ac:dyDescent="0.25">
      <c r="J27" s="5">
        <f t="shared" si="0"/>
        <v>2030</v>
      </c>
      <c r="K27" s="55">
        <f t="shared" si="1"/>
        <v>458.03957024416621</v>
      </c>
    </row>
    <row r="28" spans="2:14" x14ac:dyDescent="0.25">
      <c r="J28" s="5">
        <f t="shared" si="0"/>
        <v>2031</v>
      </c>
      <c r="K28" s="55">
        <f t="shared" si="1"/>
        <v>508.88196254126865</v>
      </c>
    </row>
    <row r="29" spans="2:14" x14ac:dyDescent="0.25">
      <c r="J29" s="5">
        <f t="shared" si="0"/>
        <v>2032</v>
      </c>
      <c r="K29" s="55">
        <f t="shared" si="1"/>
        <v>565.36786038334947</v>
      </c>
    </row>
    <row r="30" spans="2:14" x14ac:dyDescent="0.25">
      <c r="J30" s="5">
        <f t="shared" si="0"/>
        <v>2033</v>
      </c>
      <c r="K30" s="55">
        <f t="shared" si="1"/>
        <v>628.12369288590128</v>
      </c>
    </row>
    <row r="31" spans="2:14" ht="15.75" thickBot="1" x14ac:dyDescent="0.3">
      <c r="J31" s="7">
        <f t="shared" si="0"/>
        <v>2034</v>
      </c>
      <c r="K31" s="56">
        <f t="shared" si="1"/>
        <v>697.84542279623633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36298-1AE9-4CFB-A5EC-1A09B7D507E4}">
  <sheetPr>
    <tabColor theme="4"/>
  </sheetPr>
  <dimension ref="B2:M39"/>
  <sheetViews>
    <sheetView workbookViewId="0">
      <selection activeCell="J12" sqref="J12"/>
    </sheetView>
  </sheetViews>
  <sheetFormatPr defaultRowHeight="15" x14ac:dyDescent="0.25"/>
  <cols>
    <col min="1" max="1" width="2.77734375" customWidth="1"/>
    <col min="11" max="11" width="5" bestFit="1" customWidth="1"/>
    <col min="12" max="12" width="11.21875" bestFit="1" customWidth="1"/>
    <col min="13" max="13" width="11.6640625" bestFit="1" customWidth="1"/>
  </cols>
  <sheetData>
    <row r="2" spans="2:2" x14ac:dyDescent="0.25">
      <c r="B2" s="10" t="s">
        <v>9</v>
      </c>
    </row>
    <row r="19" spans="2:13" s="49" customFormat="1" x14ac:dyDescent="0.25">
      <c r="B19" s="49" t="s">
        <v>136</v>
      </c>
    </row>
    <row r="21" spans="2:13" ht="15.75" thickBot="1" x14ac:dyDescent="0.3">
      <c r="B21" s="10" t="s">
        <v>0</v>
      </c>
      <c r="C21" s="2" t="s">
        <v>137</v>
      </c>
    </row>
    <row r="22" spans="2:13" ht="15.75" thickBot="1" x14ac:dyDescent="0.3">
      <c r="K22" s="28"/>
      <c r="L22" s="29" t="s">
        <v>8</v>
      </c>
    </row>
    <row r="23" spans="2:13" ht="15.75" thickBot="1" x14ac:dyDescent="0.3"/>
    <row r="24" spans="2:13" ht="15.75" thickBot="1" x14ac:dyDescent="0.3">
      <c r="K24" s="25" t="s">
        <v>2</v>
      </c>
      <c r="L24" s="26" t="s">
        <v>6</v>
      </c>
      <c r="M24" s="27" t="s">
        <v>7</v>
      </c>
    </row>
    <row r="25" spans="2:13" x14ac:dyDescent="0.25">
      <c r="K25" s="21">
        <v>2014</v>
      </c>
      <c r="L25" s="22">
        <v>60</v>
      </c>
      <c r="M25" s="23">
        <v>60</v>
      </c>
    </row>
    <row r="26" spans="2:13" x14ac:dyDescent="0.25">
      <c r="K26" s="17">
        <f>K25+1</f>
        <v>2015</v>
      </c>
      <c r="L26" s="13">
        <v>60</v>
      </c>
      <c r="M26" s="6">
        <v>60</v>
      </c>
    </row>
    <row r="27" spans="2:13" x14ac:dyDescent="0.25">
      <c r="K27" s="17">
        <f t="shared" ref="K27:K39" si="0">K26+1</f>
        <v>2016</v>
      </c>
      <c r="L27" s="13">
        <v>60</v>
      </c>
      <c r="M27" s="6">
        <v>60</v>
      </c>
    </row>
    <row r="28" spans="2:13" x14ac:dyDescent="0.25">
      <c r="K28" s="17">
        <f t="shared" si="0"/>
        <v>2017</v>
      </c>
      <c r="L28" s="14">
        <f>L27*(L29/L27)^(($K$28-$K$27)/($K$29-$K$27))</f>
        <v>67.527772064536535</v>
      </c>
      <c r="M28" s="18">
        <f>M27*(M29/M27)^(($K$28-$K$27)/($K$29-$K$27))</f>
        <v>67.527772064536535</v>
      </c>
    </row>
    <row r="29" spans="2:13" x14ac:dyDescent="0.25">
      <c r="K29" s="17">
        <f t="shared" si="0"/>
        <v>2018</v>
      </c>
      <c r="L29" s="13">
        <v>76</v>
      </c>
      <c r="M29" s="6">
        <v>76</v>
      </c>
    </row>
    <row r="30" spans="2:13" x14ac:dyDescent="0.25">
      <c r="K30" s="17">
        <f t="shared" si="0"/>
        <v>2019</v>
      </c>
      <c r="L30" s="14">
        <f>L29*(($L$34/$L$29)^(0.2))</f>
        <v>89.898699134756882</v>
      </c>
      <c r="M30" s="18">
        <f>M29*(($L$34/$L$29)^(0.2))</f>
        <v>89.898699134756882</v>
      </c>
    </row>
    <row r="31" spans="2:13" x14ac:dyDescent="0.25">
      <c r="K31" s="17">
        <f t="shared" si="0"/>
        <v>2020</v>
      </c>
      <c r="L31" s="14">
        <f t="shared" ref="L31:M33" si="1">L30*(($L$34/$L$29)^(0.2))</f>
        <v>106.33915929107287</v>
      </c>
      <c r="M31" s="18">
        <f t="shared" si="1"/>
        <v>106.33915929107287</v>
      </c>
    </row>
    <row r="32" spans="2:13" x14ac:dyDescent="0.25">
      <c r="K32" s="17">
        <f t="shared" si="0"/>
        <v>2021</v>
      </c>
      <c r="L32" s="14">
        <f t="shared" si="1"/>
        <v>125.78621167567299</v>
      </c>
      <c r="M32" s="18">
        <f t="shared" si="1"/>
        <v>125.78621167567299</v>
      </c>
    </row>
    <row r="33" spans="11:13" x14ac:dyDescent="0.25">
      <c r="K33" s="17">
        <f t="shared" si="0"/>
        <v>2022</v>
      </c>
      <c r="L33" s="14">
        <f t="shared" si="1"/>
        <v>148.78969472016013</v>
      </c>
      <c r="M33" s="18">
        <f t="shared" si="1"/>
        <v>148.78969472016013</v>
      </c>
    </row>
    <row r="34" spans="11:13" x14ac:dyDescent="0.25">
      <c r="K34" s="17">
        <f t="shared" si="0"/>
        <v>2023</v>
      </c>
      <c r="L34" s="13">
        <v>176</v>
      </c>
      <c r="M34" s="6">
        <v>176</v>
      </c>
    </row>
    <row r="35" spans="11:13" x14ac:dyDescent="0.25">
      <c r="K35" s="17">
        <f t="shared" si="0"/>
        <v>2024</v>
      </c>
      <c r="L35" s="14">
        <f>L34*((L$39/$L$34)^0.2)</f>
        <v>198.96963646330209</v>
      </c>
      <c r="M35" s="18">
        <f>M34*((M$39/$M$34)^0.2)</f>
        <v>223.40646307861334</v>
      </c>
    </row>
    <row r="36" spans="11:13" x14ac:dyDescent="0.25">
      <c r="K36" s="17">
        <f t="shared" si="0"/>
        <v>2025</v>
      </c>
      <c r="L36" s="14">
        <f>L35*(($L$39/$L$34)^0.2)</f>
        <v>224.93702405874203</v>
      </c>
      <c r="M36" s="18">
        <f t="shared" ref="M36:M38" si="2">M35*((M$39/$M$34)^0.2)</f>
        <v>283.58208946190814</v>
      </c>
    </row>
    <row r="37" spans="11:13" x14ac:dyDescent="0.25">
      <c r="K37" s="17">
        <f t="shared" si="0"/>
        <v>2026</v>
      </c>
      <c r="L37" s="14">
        <f>L36*(($L$39/$L$34)^0.2)</f>
        <v>254.29339718241442</v>
      </c>
      <c r="M37" s="18">
        <f t="shared" si="2"/>
        <v>359.96631590413529</v>
      </c>
    </row>
    <row r="38" spans="11:13" x14ac:dyDescent="0.25">
      <c r="K38" s="17">
        <f t="shared" si="0"/>
        <v>2027</v>
      </c>
      <c r="L38" s="14">
        <f>L37*(($L$39/$L$34)^0.2)</f>
        <v>287.48104995683576</v>
      </c>
      <c r="M38" s="18">
        <f t="shared" si="2"/>
        <v>456.92500831580492</v>
      </c>
    </row>
    <row r="39" spans="11:13" ht="15.75" thickBot="1" x14ac:dyDescent="0.3">
      <c r="K39" s="19">
        <f t="shared" si="0"/>
        <v>2028</v>
      </c>
      <c r="L39" s="20">
        <v>325</v>
      </c>
      <c r="M39" s="8">
        <v>580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B2262-F7D6-4511-92B5-5704640A58B7}">
  <sheetPr>
    <tabColor theme="4"/>
  </sheetPr>
  <dimension ref="B2:D31"/>
  <sheetViews>
    <sheetView workbookViewId="0">
      <selection activeCell="J26" sqref="J26"/>
    </sheetView>
  </sheetViews>
  <sheetFormatPr defaultRowHeight="15" x14ac:dyDescent="0.25"/>
  <cols>
    <col min="1" max="1" width="2.77734375" customWidth="1"/>
    <col min="2" max="2" width="30.109375" bestFit="1" customWidth="1"/>
    <col min="3" max="3" width="11.33203125" bestFit="1" customWidth="1"/>
    <col min="4" max="4" width="11.77734375" bestFit="1" customWidth="1"/>
  </cols>
  <sheetData>
    <row r="2" spans="2:2" x14ac:dyDescent="0.25">
      <c r="B2" s="1" t="s">
        <v>140</v>
      </c>
    </row>
    <row r="19" spans="2:4" s="49" customFormat="1" x14ac:dyDescent="0.25">
      <c r="B19" s="49" t="s">
        <v>136</v>
      </c>
    </row>
    <row r="21" spans="2:4" x14ac:dyDescent="0.25">
      <c r="B21" s="1" t="s">
        <v>0</v>
      </c>
      <c r="C21" t="s">
        <v>138</v>
      </c>
    </row>
    <row r="23" spans="2:4" ht="15.75" thickBot="1" x14ac:dyDescent="0.3">
      <c r="B23" s="1" t="s">
        <v>139</v>
      </c>
    </row>
    <row r="24" spans="2:4" ht="15.75" thickBot="1" x14ac:dyDescent="0.3">
      <c r="B24" s="40" t="s">
        <v>29</v>
      </c>
      <c r="C24" s="41" t="s">
        <v>37</v>
      </c>
      <c r="D24" s="42" t="s">
        <v>38</v>
      </c>
    </row>
    <row r="25" spans="2:4" x14ac:dyDescent="0.25">
      <c r="B25" s="21" t="s">
        <v>34</v>
      </c>
      <c r="C25" s="63">
        <v>15</v>
      </c>
      <c r="D25" s="64">
        <v>25</v>
      </c>
    </row>
    <row r="26" spans="2:4" x14ac:dyDescent="0.25">
      <c r="B26" s="17" t="s">
        <v>30</v>
      </c>
      <c r="C26" s="59">
        <v>25</v>
      </c>
      <c r="D26" s="60">
        <v>75</v>
      </c>
    </row>
    <row r="27" spans="2:4" x14ac:dyDescent="0.25">
      <c r="B27" s="17" t="s">
        <v>31</v>
      </c>
      <c r="C27" s="59">
        <v>80</v>
      </c>
      <c r="D27" s="60">
        <v>160</v>
      </c>
    </row>
    <row r="28" spans="2:4" x14ac:dyDescent="0.25">
      <c r="B28" s="17" t="s">
        <v>35</v>
      </c>
      <c r="C28" s="59">
        <v>100</v>
      </c>
      <c r="D28" s="60">
        <v>200</v>
      </c>
    </row>
    <row r="29" spans="2:4" x14ac:dyDescent="0.25">
      <c r="B29" s="17" t="s">
        <v>33</v>
      </c>
      <c r="C29" s="59">
        <v>125</v>
      </c>
      <c r="D29" s="60">
        <v>215</v>
      </c>
    </row>
    <row r="30" spans="2:4" x14ac:dyDescent="0.25">
      <c r="B30" s="17" t="s">
        <v>32</v>
      </c>
      <c r="C30" s="59">
        <v>280</v>
      </c>
      <c r="D30" s="60">
        <v>460</v>
      </c>
    </row>
    <row r="31" spans="2:4" ht="15.75" thickBot="1" x14ac:dyDescent="0.3">
      <c r="B31" s="19" t="s">
        <v>36</v>
      </c>
      <c r="C31" s="61">
        <v>625</v>
      </c>
      <c r="D31" s="62">
        <v>1135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FBEF3-C7CE-4A20-82A3-A4EDC9E0C5C1}">
  <sheetPr>
    <tabColor theme="4"/>
  </sheetPr>
  <dimension ref="B2:L26"/>
  <sheetViews>
    <sheetView workbookViewId="0">
      <selection activeCell="O31" sqref="O31"/>
    </sheetView>
  </sheetViews>
  <sheetFormatPr defaultRowHeight="15" x14ac:dyDescent="0.25"/>
  <cols>
    <col min="1" max="1" width="2.77734375" customWidth="1"/>
    <col min="10" max="10" width="14.88671875" bestFit="1" customWidth="1"/>
    <col min="11" max="11" width="6.44140625" bestFit="1" customWidth="1"/>
    <col min="12" max="12" width="10.77734375" bestFit="1" customWidth="1"/>
  </cols>
  <sheetData>
    <row r="2" spans="2:2" x14ac:dyDescent="0.25">
      <c r="B2" s="1" t="s">
        <v>45</v>
      </c>
    </row>
    <row r="19" spans="2:12" s="49" customFormat="1" x14ac:dyDescent="0.25">
      <c r="B19" s="50" t="s">
        <v>136</v>
      </c>
    </row>
    <row r="21" spans="2:12" x14ac:dyDescent="0.25">
      <c r="B21" s="1" t="s">
        <v>0</v>
      </c>
      <c r="C21" t="s">
        <v>39</v>
      </c>
    </row>
    <row r="23" spans="2:12" ht="15.75" thickBot="1" x14ac:dyDescent="0.3"/>
    <row r="24" spans="2:12" ht="15.75" thickBot="1" x14ac:dyDescent="0.3">
      <c r="J24" s="40" t="s">
        <v>40</v>
      </c>
      <c r="K24" s="41" t="s">
        <v>43</v>
      </c>
      <c r="L24" s="42" t="s">
        <v>44</v>
      </c>
    </row>
    <row r="25" spans="2:12" x14ac:dyDescent="0.25">
      <c r="J25" s="15" t="s">
        <v>41</v>
      </c>
      <c r="K25" s="65">
        <v>10.75</v>
      </c>
      <c r="L25" s="66">
        <v>12.35</v>
      </c>
    </row>
    <row r="26" spans="2:12" ht="15.75" thickBot="1" x14ac:dyDescent="0.3">
      <c r="J26" s="19" t="s">
        <v>42</v>
      </c>
      <c r="K26" s="67">
        <v>6.63</v>
      </c>
      <c r="L26" s="68">
        <v>7.57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68F59-1794-4CCE-A25A-34B3D73CF1D0}">
  <sheetPr>
    <tabColor theme="4"/>
  </sheetPr>
  <dimension ref="B2:C33"/>
  <sheetViews>
    <sheetView workbookViewId="0">
      <selection activeCell="M12" sqref="M12"/>
    </sheetView>
  </sheetViews>
  <sheetFormatPr defaultRowHeight="15" x14ac:dyDescent="0.25"/>
  <cols>
    <col min="1" max="1" width="2.77734375" customWidth="1"/>
    <col min="2" max="2" width="15" bestFit="1" customWidth="1"/>
  </cols>
  <sheetData>
    <row r="2" spans="2:2" x14ac:dyDescent="0.25">
      <c r="B2" s="1" t="s">
        <v>141</v>
      </c>
    </row>
    <row r="19" spans="2:3" s="49" customFormat="1" x14ac:dyDescent="0.25">
      <c r="B19" s="49" t="s">
        <v>136</v>
      </c>
    </row>
    <row r="21" spans="2:3" x14ac:dyDescent="0.25">
      <c r="B21" s="1" t="s">
        <v>0</v>
      </c>
      <c r="C21" t="s">
        <v>56</v>
      </c>
    </row>
    <row r="22" spans="2:3" ht="15.75" thickBot="1" x14ac:dyDescent="0.3"/>
    <row r="23" spans="2:3" ht="15.75" thickBot="1" x14ac:dyDescent="0.3">
      <c r="B23" s="40" t="s">
        <v>57</v>
      </c>
      <c r="C23" s="42" t="s">
        <v>58</v>
      </c>
    </row>
    <row r="24" spans="2:3" x14ac:dyDescent="0.25">
      <c r="B24" s="21" t="s">
        <v>52</v>
      </c>
      <c r="C24" s="69">
        <v>6.4699999999999994E-2</v>
      </c>
    </row>
    <row r="25" spans="2:3" x14ac:dyDescent="0.25">
      <c r="B25" s="17" t="s">
        <v>51</v>
      </c>
      <c r="C25" s="70">
        <v>7.1300000000000002E-2</v>
      </c>
    </row>
    <row r="26" spans="2:3" x14ac:dyDescent="0.25">
      <c r="B26" s="17" t="s">
        <v>53</v>
      </c>
      <c r="C26" s="70">
        <v>7.2099999999999997E-2</v>
      </c>
    </row>
    <row r="27" spans="2:3" x14ac:dyDescent="0.25">
      <c r="B27" s="17" t="s">
        <v>49</v>
      </c>
      <c r="C27" s="70">
        <v>7.5499999999999998E-2</v>
      </c>
    </row>
    <row r="28" spans="2:3" x14ac:dyDescent="0.25">
      <c r="B28" s="17" t="s">
        <v>50</v>
      </c>
      <c r="C28" s="70">
        <v>8.2500000000000004E-2</v>
      </c>
    </row>
    <row r="29" spans="2:3" x14ac:dyDescent="0.25">
      <c r="B29" s="17" t="s">
        <v>55</v>
      </c>
      <c r="C29" s="70">
        <v>8.5299999999999987E-2</v>
      </c>
    </row>
    <row r="30" spans="2:3" x14ac:dyDescent="0.25">
      <c r="B30" s="17" t="s">
        <v>48</v>
      </c>
      <c r="C30" s="70">
        <v>9.1899999999999996E-2</v>
      </c>
    </row>
    <row r="31" spans="2:3" x14ac:dyDescent="0.25">
      <c r="B31" s="17" t="s">
        <v>47</v>
      </c>
      <c r="C31" s="70">
        <v>0.1074</v>
      </c>
    </row>
    <row r="32" spans="2:3" x14ac:dyDescent="0.25">
      <c r="B32" s="17" t="s">
        <v>54</v>
      </c>
      <c r="C32" s="70">
        <v>0.14050000000000001</v>
      </c>
    </row>
    <row r="33" spans="2:3" ht="15.75" thickBot="1" x14ac:dyDescent="0.3">
      <c r="B33" s="19" t="s">
        <v>46</v>
      </c>
      <c r="C33" s="71">
        <v>0.18789999999999998</v>
      </c>
    </row>
  </sheetData>
  <sortState xmlns:xlrd2="http://schemas.microsoft.com/office/spreadsheetml/2017/richdata2" ref="B24:C33">
    <sortCondition ref="C24:C33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7C548-153F-4AA7-B56B-FAA3FB709C76}">
  <sheetPr>
    <tabColor theme="4"/>
  </sheetPr>
  <dimension ref="B2:S27"/>
  <sheetViews>
    <sheetView workbookViewId="0">
      <selection activeCell="G30" sqref="G30"/>
    </sheetView>
  </sheetViews>
  <sheetFormatPr defaultRowHeight="15" x14ac:dyDescent="0.25"/>
  <cols>
    <col min="1" max="1" width="2.77734375" customWidth="1"/>
    <col min="2" max="2" width="13.5546875" bestFit="1" customWidth="1"/>
    <col min="3" max="3" width="22.88671875" bestFit="1" customWidth="1"/>
    <col min="5" max="5" width="16.5546875" bestFit="1" customWidth="1"/>
    <col min="6" max="6" width="7" bestFit="1" customWidth="1"/>
    <col min="8" max="8" width="2.77734375" style="49" customWidth="1"/>
    <col min="9" max="9" width="14.21875" bestFit="1" customWidth="1"/>
    <col min="10" max="10" width="23.5546875" bestFit="1" customWidth="1"/>
    <col min="11" max="11" width="14.33203125" bestFit="1" customWidth="1"/>
    <col min="12" max="12" width="17.33203125" bestFit="1" customWidth="1"/>
    <col min="13" max="13" width="14.6640625" bestFit="1" customWidth="1"/>
    <col min="14" max="14" width="14" hidden="1" customWidth="1"/>
    <col min="15" max="16" width="0" hidden="1" customWidth="1"/>
    <col min="17" max="17" width="2.77734375" style="49" customWidth="1"/>
    <col min="18" max="18" width="14.21875" bestFit="1" customWidth="1"/>
    <col min="19" max="19" width="28" bestFit="1" customWidth="1"/>
  </cols>
  <sheetData>
    <row r="2" spans="2:18" x14ac:dyDescent="0.25">
      <c r="B2" s="1" t="s">
        <v>59</v>
      </c>
      <c r="I2" s="1" t="s">
        <v>70</v>
      </c>
      <c r="R2" s="1" t="s">
        <v>143</v>
      </c>
    </row>
    <row r="19" spans="2:19" s="49" customFormat="1" x14ac:dyDescent="0.25">
      <c r="B19" s="49" t="s">
        <v>136</v>
      </c>
    </row>
    <row r="21" spans="2:19" ht="15.75" thickBot="1" x14ac:dyDescent="0.3">
      <c r="B21" s="1" t="s">
        <v>59</v>
      </c>
      <c r="E21" s="1" t="s">
        <v>144</v>
      </c>
      <c r="I21" s="1" t="s">
        <v>70</v>
      </c>
      <c r="R21" s="1" t="s">
        <v>143</v>
      </c>
    </row>
    <row r="22" spans="2:19" ht="15.75" thickBot="1" x14ac:dyDescent="0.3">
      <c r="B22" s="40" t="s">
        <v>60</v>
      </c>
      <c r="C22" s="42" t="s">
        <v>61</v>
      </c>
      <c r="E22" s="75" t="s">
        <v>67</v>
      </c>
      <c r="F22" s="76">
        <f>'Figure 8'!C24</f>
        <v>6.4699999999999994E-2</v>
      </c>
      <c r="I22" s="43" t="s">
        <v>60</v>
      </c>
      <c r="J22" s="44" t="s">
        <v>61</v>
      </c>
      <c r="K22" s="44" t="s">
        <v>67</v>
      </c>
      <c r="L22" s="44" t="s">
        <v>68</v>
      </c>
      <c r="M22" s="45" t="s">
        <v>69</v>
      </c>
      <c r="R22" s="40" t="s">
        <v>60</v>
      </c>
      <c r="S22" s="42" t="s">
        <v>71</v>
      </c>
    </row>
    <row r="23" spans="2:19" x14ac:dyDescent="0.25">
      <c r="B23" s="15" t="s">
        <v>62</v>
      </c>
      <c r="C23" s="72">
        <f>10*8760</f>
        <v>87600</v>
      </c>
      <c r="E23" s="77" t="s">
        <v>68</v>
      </c>
      <c r="F23" s="78">
        <f>'Figure 8'!C29</f>
        <v>8.5299999999999987E-2</v>
      </c>
      <c r="I23" s="15" t="s">
        <v>62</v>
      </c>
      <c r="J23" s="81">
        <f>C23</f>
        <v>87600</v>
      </c>
      <c r="K23" s="81">
        <f>_xlfn.XLOOKUP(K$22,$E$22:$E$24,$F$22:$F$24)*$J23*1000</f>
        <v>5667719.9999999991</v>
      </c>
      <c r="L23" s="81">
        <f>_xlfn.XLOOKUP(L$22,$E$22:$E$24,$F$22:$F$24)*$J23*1000</f>
        <v>7472279.9999999991</v>
      </c>
      <c r="M23" s="82">
        <f>_xlfn.XLOOKUP(M$22,$E$22:$E$24,$F$22:$F$24)*$J23*1000</f>
        <v>16460039.999999998</v>
      </c>
      <c r="R23" s="21" t="s">
        <v>62</v>
      </c>
      <c r="S23" s="85">
        <f>J23*1000*0.01</f>
        <v>876000</v>
      </c>
    </row>
    <row r="24" spans="2:19" ht="15.75" thickBot="1" x14ac:dyDescent="0.3">
      <c r="B24" s="17" t="s">
        <v>63</v>
      </c>
      <c r="C24" s="73">
        <f>C23*2</f>
        <v>175200</v>
      </c>
      <c r="E24" s="79" t="s">
        <v>69</v>
      </c>
      <c r="F24" s="80">
        <f>'Figure 8'!C33</f>
        <v>0.18789999999999998</v>
      </c>
      <c r="I24" s="17" t="s">
        <v>63</v>
      </c>
      <c r="J24" s="34">
        <f>C24</f>
        <v>175200</v>
      </c>
      <c r="K24" s="34">
        <f>_xlfn.XLOOKUP(K$22,$E$22:$E$24,$F$22:$F$24)*$J24*1000</f>
        <v>11335439.999999998</v>
      </c>
      <c r="L24" s="34">
        <f>_xlfn.XLOOKUP(L$22,$E$22:$E$24,$F$22:$F$24)*$J24*1000</f>
        <v>14944559.999999998</v>
      </c>
      <c r="M24" s="35">
        <f>_xlfn.XLOOKUP(M$22,$E$22:$E$24,$F$22:$F$24)*$J24*1000</f>
        <v>32920079.999999996</v>
      </c>
      <c r="R24" s="17" t="s">
        <v>63</v>
      </c>
      <c r="S24" s="35">
        <f>J24*1000*0.01</f>
        <v>1752000</v>
      </c>
    </row>
    <row r="25" spans="2:19" x14ac:dyDescent="0.25">
      <c r="B25" s="17" t="s">
        <v>64</v>
      </c>
      <c r="C25" s="73">
        <f>C23*3</f>
        <v>262800</v>
      </c>
      <c r="I25" s="17" t="s">
        <v>64</v>
      </c>
      <c r="J25" s="34">
        <f>C25</f>
        <v>262800</v>
      </c>
      <c r="K25" s="34">
        <f>_xlfn.XLOOKUP(K$22,$E$22:$E$24,$F$22:$F$24)*$J25*1000</f>
        <v>17003160</v>
      </c>
      <c r="L25" s="34">
        <f>_xlfn.XLOOKUP(L$22,$E$22:$E$24,$F$22:$F$24)*$J25*1000</f>
        <v>22416839.999999996</v>
      </c>
      <c r="M25" s="35">
        <f>_xlfn.XLOOKUP(M$22,$E$22:$E$24,$F$22:$F$24)*$J25*1000</f>
        <v>49380119.999999993</v>
      </c>
      <c r="R25" s="17" t="s">
        <v>64</v>
      </c>
      <c r="S25" s="35">
        <f>J25*1000*0.01</f>
        <v>2628000</v>
      </c>
    </row>
    <row r="26" spans="2:19" x14ac:dyDescent="0.25">
      <c r="B26" s="17" t="s">
        <v>65</v>
      </c>
      <c r="C26" s="73">
        <f>C23*4</f>
        <v>350400</v>
      </c>
      <c r="I26" s="17" t="s">
        <v>65</v>
      </c>
      <c r="J26" s="34">
        <f>C26</f>
        <v>350400</v>
      </c>
      <c r="K26" s="34">
        <f>_xlfn.XLOOKUP(K$22,$E$22:$E$24,$F$22:$F$24)*$J26*1000</f>
        <v>22670879.999999996</v>
      </c>
      <c r="L26" s="34">
        <f>_xlfn.XLOOKUP(L$22,$E$22:$E$24,$F$22:$F$24)*$J26*1000</f>
        <v>29889119.999999996</v>
      </c>
      <c r="M26" s="35">
        <f>_xlfn.XLOOKUP(M$22,$E$22:$E$24,$F$22:$F$24)*$J26*1000</f>
        <v>65840159.999999993</v>
      </c>
      <c r="R26" s="17" t="s">
        <v>65</v>
      </c>
      <c r="S26" s="35">
        <f>J26*1000*0.01</f>
        <v>3504000</v>
      </c>
    </row>
    <row r="27" spans="2:19" ht="15.75" thickBot="1" x14ac:dyDescent="0.3">
      <c r="B27" s="19" t="s">
        <v>66</v>
      </c>
      <c r="C27" s="74">
        <f>C23*5</f>
        <v>438000</v>
      </c>
      <c r="I27" s="19" t="s">
        <v>66</v>
      </c>
      <c r="J27" s="83">
        <f>C27</f>
        <v>438000</v>
      </c>
      <c r="K27" s="83">
        <f>_xlfn.XLOOKUP(K$22,$E$22:$E$24,$F$22:$F$24)*$J27*1000</f>
        <v>28338600</v>
      </c>
      <c r="L27" s="83">
        <f>_xlfn.XLOOKUP(L$22,$E$22:$E$24,$F$22:$F$24)*$J27*1000</f>
        <v>37361399.999999993</v>
      </c>
      <c r="M27" s="84">
        <f>_xlfn.XLOOKUP(M$22,$E$22:$E$24,$F$22:$F$24)*$J27*1000</f>
        <v>82300200</v>
      </c>
      <c r="R27" s="19" t="s">
        <v>66</v>
      </c>
      <c r="S27" s="84">
        <f>J27*1000*0.01</f>
        <v>4380000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72BD6-3126-4B02-AB02-86F1E6439F93}">
  <sheetPr>
    <tabColor theme="4"/>
  </sheetPr>
  <dimension ref="B2:AD133"/>
  <sheetViews>
    <sheetView topLeftCell="A4" workbookViewId="0">
      <selection activeCell="O30" sqref="O30"/>
    </sheetView>
  </sheetViews>
  <sheetFormatPr defaultRowHeight="15" x14ac:dyDescent="0.25"/>
  <cols>
    <col min="1" max="1" width="2.77734375" customWidth="1"/>
    <col min="2" max="2" width="6.77734375" bestFit="1" customWidth="1"/>
    <col min="3" max="3" width="21.88671875" bestFit="1" customWidth="1"/>
    <col min="4" max="4" width="19.6640625" bestFit="1" customWidth="1"/>
    <col min="5" max="5" width="0" hidden="1" customWidth="1"/>
    <col min="6" max="6" width="12.109375" customWidth="1"/>
    <col min="8" max="8" width="2.77734375" style="49" customWidth="1"/>
    <col min="9" max="9" width="5" bestFit="1" customWidth="1"/>
    <col min="10" max="10" width="8.77734375" bestFit="1" customWidth="1"/>
    <col min="11" max="11" width="21.88671875" bestFit="1" customWidth="1"/>
    <col min="12" max="15" width="5" bestFit="1" customWidth="1"/>
    <col min="16" max="16" width="5.44140625" bestFit="1" customWidth="1"/>
    <col min="17" max="17" width="10.44140625" bestFit="1" customWidth="1"/>
    <col min="18" max="18" width="2.77734375" style="49" customWidth="1"/>
    <col min="19" max="19" width="16.77734375" bestFit="1" customWidth="1"/>
    <col min="20" max="20" width="17" bestFit="1" customWidth="1"/>
    <col min="21" max="21" width="10.21875" bestFit="1" customWidth="1"/>
    <col min="22" max="28" width="5" bestFit="1" customWidth="1"/>
    <col min="29" max="29" width="5.44140625" bestFit="1" customWidth="1"/>
    <col min="30" max="30" width="10.44140625" bestFit="1" customWidth="1"/>
    <col min="31" max="31" width="9.5546875" bestFit="1" customWidth="1"/>
    <col min="32" max="32" width="6.77734375" bestFit="1" customWidth="1"/>
    <col min="33" max="33" width="6.44140625" bestFit="1" customWidth="1"/>
    <col min="34" max="34" width="6.21875" bestFit="1" customWidth="1"/>
    <col min="35" max="36" width="4.5546875" bestFit="1" customWidth="1"/>
    <col min="37" max="37" width="5.109375" bestFit="1" customWidth="1"/>
    <col min="38" max="38" width="9.5546875" bestFit="1" customWidth="1"/>
    <col min="39" max="39" width="6.77734375" bestFit="1" customWidth="1"/>
    <col min="40" max="40" width="6.44140625" bestFit="1" customWidth="1"/>
    <col min="41" max="41" width="6.21875" bestFit="1" customWidth="1"/>
    <col min="42" max="43" width="4.5546875" bestFit="1" customWidth="1"/>
    <col min="44" max="44" width="5.109375" bestFit="1" customWidth="1"/>
    <col min="45" max="45" width="9.5546875" bestFit="1" customWidth="1"/>
    <col min="46" max="46" width="6.77734375" bestFit="1" customWidth="1"/>
    <col min="47" max="47" width="6.44140625" bestFit="1" customWidth="1"/>
    <col min="48" max="48" width="6.21875" bestFit="1" customWidth="1"/>
    <col min="49" max="50" width="4.5546875" bestFit="1" customWidth="1"/>
    <col min="51" max="51" width="5.109375" bestFit="1" customWidth="1"/>
    <col min="52" max="52" width="9.5546875" bestFit="1" customWidth="1"/>
    <col min="53" max="53" width="6.77734375" bestFit="1" customWidth="1"/>
    <col min="54" max="54" width="6.44140625" bestFit="1" customWidth="1"/>
    <col min="55" max="55" width="6.21875" bestFit="1" customWidth="1"/>
    <col min="56" max="57" width="4.5546875" bestFit="1" customWidth="1"/>
    <col min="58" max="58" width="5.109375" bestFit="1" customWidth="1"/>
    <col min="59" max="59" width="9.5546875" bestFit="1" customWidth="1"/>
    <col min="60" max="60" width="6.77734375" bestFit="1" customWidth="1"/>
    <col min="61" max="61" width="6.44140625" bestFit="1" customWidth="1"/>
    <col min="62" max="62" width="6.21875" bestFit="1" customWidth="1"/>
    <col min="63" max="64" width="4.5546875" bestFit="1" customWidth="1"/>
    <col min="65" max="65" width="5.109375" bestFit="1" customWidth="1"/>
    <col min="66" max="66" width="9.5546875" bestFit="1" customWidth="1"/>
    <col min="67" max="67" width="6.77734375" bestFit="1" customWidth="1"/>
    <col min="68" max="68" width="6.44140625" bestFit="1" customWidth="1"/>
    <col min="69" max="69" width="6.21875" bestFit="1" customWidth="1"/>
    <col min="70" max="71" width="4.5546875" bestFit="1" customWidth="1"/>
    <col min="72" max="72" width="5.109375" bestFit="1" customWidth="1"/>
    <col min="73" max="73" width="9.5546875" bestFit="1" customWidth="1"/>
    <col min="74" max="74" width="10.44140625" bestFit="1" customWidth="1"/>
  </cols>
  <sheetData>
    <row r="2" spans="2:19" x14ac:dyDescent="0.25">
      <c r="B2" s="1" t="s">
        <v>78</v>
      </c>
      <c r="I2" s="88" t="s">
        <v>146</v>
      </c>
      <c r="S2" s="1" t="s">
        <v>88</v>
      </c>
    </row>
    <row r="19" spans="2:30" s="49" customFormat="1" x14ac:dyDescent="0.25">
      <c r="B19" s="50" t="s">
        <v>136</v>
      </c>
    </row>
    <row r="21" spans="2:30" ht="15.75" thickBot="1" x14ac:dyDescent="0.3">
      <c r="B21" s="1" t="s">
        <v>0</v>
      </c>
      <c r="C21" t="s">
        <v>72</v>
      </c>
      <c r="J21" s="1" t="s">
        <v>0</v>
      </c>
      <c r="K21" t="s">
        <v>72</v>
      </c>
      <c r="S21" s="1" t="s">
        <v>149</v>
      </c>
    </row>
    <row r="22" spans="2:30" ht="15.75" thickBot="1" x14ac:dyDescent="0.3">
      <c r="S22" s="93" t="s">
        <v>57</v>
      </c>
      <c r="T22" s="42" t="s">
        <v>117</v>
      </c>
    </row>
    <row r="23" spans="2:30" ht="15.75" thickBot="1" x14ac:dyDescent="0.3">
      <c r="B23" s="40" t="s">
        <v>2</v>
      </c>
      <c r="C23" s="91" t="s">
        <v>74</v>
      </c>
      <c r="D23" s="42" t="s">
        <v>73</v>
      </c>
      <c r="J23" s="40" t="s">
        <v>75</v>
      </c>
      <c r="K23" s="42" t="s">
        <v>145</v>
      </c>
      <c r="S23" s="21" t="s">
        <v>83</v>
      </c>
      <c r="T23" s="92">
        <f>_xlfn.XLOOKUP(S23,$S$32:$S$37,$AD$32:$AD$37)</f>
        <v>24.906373193166885</v>
      </c>
    </row>
    <row r="24" spans="2:30" x14ac:dyDescent="0.25">
      <c r="B24" s="15">
        <v>2014</v>
      </c>
      <c r="C24" s="89">
        <v>197.6</v>
      </c>
      <c r="D24" s="51">
        <v>127</v>
      </c>
      <c r="J24" s="15">
        <v>2000</v>
      </c>
      <c r="K24" s="51">
        <v>37.352168199737193</v>
      </c>
      <c r="S24" s="17" t="s">
        <v>85</v>
      </c>
      <c r="T24" s="52">
        <f>_xlfn.XLOOKUP(S24,$S$32:$S$37,$AD$32:$AD$37)</f>
        <v>43.469119579500656</v>
      </c>
    </row>
    <row r="25" spans="2:30" x14ac:dyDescent="0.25">
      <c r="B25" s="17">
        <v>2015</v>
      </c>
      <c r="C25" s="87">
        <v>227.1</v>
      </c>
      <c r="D25" s="52">
        <v>136.4</v>
      </c>
      <c r="J25" s="17">
        <v>2001</v>
      </c>
      <c r="K25" s="52">
        <v>19.119579500657029</v>
      </c>
      <c r="S25" s="17" t="s">
        <v>80</v>
      </c>
      <c r="T25" s="52">
        <f>_xlfn.XLOOKUP(S25,$S$32:$S$37,$AD$32:$AD$37)</f>
        <v>44.103153745072277</v>
      </c>
    </row>
    <row r="26" spans="2:30" x14ac:dyDescent="0.25">
      <c r="B26" s="17">
        <v>2016</v>
      </c>
      <c r="C26" s="87">
        <v>218.7</v>
      </c>
      <c r="D26" s="52">
        <v>202.1</v>
      </c>
      <c r="J26" s="17">
        <v>2002</v>
      </c>
      <c r="K26" s="52">
        <v>6.8002628120893558</v>
      </c>
      <c r="S26" s="17" t="s">
        <v>82</v>
      </c>
      <c r="T26" s="52">
        <f>_xlfn.XLOOKUP(S26,$S$32:$S$37,$AD$32:$AD$37)</f>
        <v>54.633705650459923</v>
      </c>
    </row>
    <row r="27" spans="2:30" x14ac:dyDescent="0.25">
      <c r="B27" s="17">
        <v>2017</v>
      </c>
      <c r="C27" s="87">
        <v>272</v>
      </c>
      <c r="D27" s="52">
        <v>233.6</v>
      </c>
      <c r="J27" s="17">
        <v>2003</v>
      </c>
      <c r="K27" s="52">
        <v>8.6399474375821281</v>
      </c>
      <c r="S27" s="17" t="s">
        <v>81</v>
      </c>
      <c r="T27" s="52">
        <f>_xlfn.XLOOKUP(S27,$S$32:$S$37,$AD$32:$AD$37)</f>
        <v>60.500985545335084</v>
      </c>
    </row>
    <row r="28" spans="2:30" ht="15.75" thickBot="1" x14ac:dyDescent="0.3">
      <c r="B28" s="17">
        <v>2018</v>
      </c>
      <c r="C28" s="87">
        <v>362.1</v>
      </c>
      <c r="D28" s="52">
        <v>276.7</v>
      </c>
      <c r="J28" s="17">
        <v>2004</v>
      </c>
      <c r="K28" s="52">
        <v>13.53482260183968</v>
      </c>
      <c r="S28" s="19" t="s">
        <v>84</v>
      </c>
      <c r="T28" s="53">
        <f>_xlfn.XLOOKUP(S28,$S$32:$S$37,$AD$32:$AD$37)</f>
        <v>74.453022339027584</v>
      </c>
    </row>
    <row r="29" spans="2:30" x14ac:dyDescent="0.25">
      <c r="B29" s="17">
        <v>2019</v>
      </c>
      <c r="C29" s="87">
        <v>434.2</v>
      </c>
      <c r="D29" s="52">
        <v>299.10000000000002</v>
      </c>
      <c r="J29" s="17">
        <v>2005</v>
      </c>
      <c r="K29" s="52">
        <v>15.53876478318003</v>
      </c>
    </row>
    <row r="30" spans="2:30" x14ac:dyDescent="0.25">
      <c r="B30" s="17">
        <v>2020</v>
      </c>
      <c r="C30" s="87">
        <v>612.9</v>
      </c>
      <c r="D30" s="52">
        <v>348.6</v>
      </c>
      <c r="J30" s="17">
        <v>2006</v>
      </c>
      <c r="K30" s="52">
        <v>15.98226018396846</v>
      </c>
      <c r="S30" s="94" t="s">
        <v>150</v>
      </c>
      <c r="T30" s="94" t="s">
        <v>148</v>
      </c>
      <c r="U30" s="94"/>
      <c r="V30" s="94"/>
      <c r="W30" s="94"/>
      <c r="X30" s="94"/>
      <c r="Y30" s="94"/>
      <c r="Z30" s="94"/>
      <c r="AA30" s="94"/>
      <c r="AB30" s="94"/>
      <c r="AC30" s="94"/>
      <c r="AD30" s="94"/>
    </row>
    <row r="31" spans="2:30" ht="15.75" thickBot="1" x14ac:dyDescent="0.3">
      <c r="B31" s="17">
        <v>2021</v>
      </c>
      <c r="C31" s="87">
        <v>810</v>
      </c>
      <c r="D31" s="52">
        <v>560.6</v>
      </c>
      <c r="J31" s="17">
        <v>2007</v>
      </c>
      <c r="K31" s="52">
        <v>14.848883048620239</v>
      </c>
      <c r="S31" s="95" t="s">
        <v>86</v>
      </c>
      <c r="T31" s="95">
        <v>2014</v>
      </c>
      <c r="U31" s="95">
        <v>2015</v>
      </c>
      <c r="V31" s="95">
        <v>2016</v>
      </c>
      <c r="W31" s="95">
        <v>2017</v>
      </c>
      <c r="X31" s="95">
        <v>2018</v>
      </c>
      <c r="Y31" s="95">
        <v>2019</v>
      </c>
      <c r="Z31" s="95">
        <v>2020</v>
      </c>
      <c r="AA31" s="95">
        <v>2021</v>
      </c>
      <c r="AB31" s="95">
        <v>2022</v>
      </c>
      <c r="AC31" s="95">
        <v>2023</v>
      </c>
      <c r="AD31" s="95" t="s">
        <v>87</v>
      </c>
    </row>
    <row r="32" spans="2:30" x14ac:dyDescent="0.25">
      <c r="B32" s="17">
        <v>2022</v>
      </c>
      <c r="C32" s="87">
        <v>1282.3</v>
      </c>
      <c r="D32" s="52">
        <v>759.1</v>
      </c>
      <c r="J32" s="17">
        <v>2008</v>
      </c>
      <c r="K32" s="52">
        <v>15.93298291721419</v>
      </c>
      <c r="S32" s="15" t="s">
        <v>84</v>
      </c>
      <c r="T32" s="89">
        <v>55.289093298291718</v>
      </c>
      <c r="U32" s="89">
        <v>63.534822601839679</v>
      </c>
      <c r="V32" s="89">
        <v>68.577529566360056</v>
      </c>
      <c r="W32" s="89">
        <v>65.93298291721419</v>
      </c>
      <c r="X32" s="89">
        <v>70.877135348226005</v>
      </c>
      <c r="Y32" s="89">
        <v>83.04862023653088</v>
      </c>
      <c r="Z32" s="89">
        <v>79.106438896189218</v>
      </c>
      <c r="AA32" s="89">
        <v>62.549277266754267</v>
      </c>
      <c r="AB32" s="89">
        <v>95.170827858081466</v>
      </c>
      <c r="AC32" s="89">
        <v>100.44349540078839</v>
      </c>
      <c r="AD32" s="51">
        <v>74.453022339027584</v>
      </c>
    </row>
    <row r="33" spans="2:30" ht="15.75" thickBot="1" x14ac:dyDescent="0.3">
      <c r="B33" s="19">
        <v>2023</v>
      </c>
      <c r="C33" s="90">
        <v>1689.6</v>
      </c>
      <c r="D33" s="53">
        <v>908</v>
      </c>
      <c r="J33" s="17">
        <v>2009</v>
      </c>
      <c r="K33" s="52">
        <v>22.930354796320628</v>
      </c>
      <c r="S33" s="17" t="s">
        <v>85</v>
      </c>
      <c r="T33" s="87">
        <v>44.973718791064393</v>
      </c>
      <c r="U33" s="87">
        <v>40.867279894875161</v>
      </c>
      <c r="V33" s="87">
        <v>36.448751642575559</v>
      </c>
      <c r="W33" s="87">
        <v>44.546649145860712</v>
      </c>
      <c r="X33" s="87">
        <v>55.634034165571613</v>
      </c>
      <c r="Y33" s="87">
        <v>50.229960578186592</v>
      </c>
      <c r="Z33" s="87">
        <v>37.023653088042053</v>
      </c>
      <c r="AA33" s="87">
        <v>40.965834428383701</v>
      </c>
      <c r="AB33" s="87">
        <v>37.450722733245733</v>
      </c>
      <c r="AC33" s="87">
        <v>46.550591327201047</v>
      </c>
      <c r="AD33" s="52">
        <v>43.469119579500656</v>
      </c>
    </row>
    <row r="34" spans="2:30" x14ac:dyDescent="0.25">
      <c r="J34" s="17">
        <v>2010</v>
      </c>
      <c r="K34" s="52">
        <v>28.38370565045992</v>
      </c>
      <c r="S34" s="17" t="s">
        <v>81</v>
      </c>
      <c r="T34" s="87">
        <v>33.081471747700391</v>
      </c>
      <c r="U34" s="87">
        <v>56.86596583442838</v>
      </c>
      <c r="V34" s="87">
        <v>53.564388961892249</v>
      </c>
      <c r="W34" s="87">
        <v>50.26281208935611</v>
      </c>
      <c r="X34" s="87">
        <v>46.616294349540077</v>
      </c>
      <c r="Y34" s="87">
        <v>58.114323258869902</v>
      </c>
      <c r="Z34" s="87">
        <v>94.382391590013142</v>
      </c>
      <c r="AA34" s="87">
        <v>82.03022339027595</v>
      </c>
      <c r="AB34" s="87">
        <v>53.646517739816026</v>
      </c>
      <c r="AC34" s="87">
        <v>76.445466491458603</v>
      </c>
      <c r="AD34" s="52">
        <v>60.500985545335084</v>
      </c>
    </row>
    <row r="35" spans="2:30" x14ac:dyDescent="0.25">
      <c r="J35" s="17">
        <v>2011</v>
      </c>
      <c r="K35" s="52">
        <v>30.584756898817339</v>
      </c>
      <c r="S35" s="17" t="s">
        <v>80</v>
      </c>
      <c r="T35" s="87">
        <v>42.641261498028911</v>
      </c>
      <c r="U35" s="87">
        <v>28.712220762155059</v>
      </c>
      <c r="V35" s="87">
        <v>41.1957950065703</v>
      </c>
      <c r="W35" s="87">
        <v>37.122207621550587</v>
      </c>
      <c r="X35" s="87">
        <v>42.706964520367933</v>
      </c>
      <c r="Y35" s="87">
        <v>36.399474375821278</v>
      </c>
      <c r="Z35" s="87">
        <v>33.47568988173456</v>
      </c>
      <c r="AA35" s="87">
        <v>53.613666228646522</v>
      </c>
      <c r="AB35" s="87">
        <v>63.731931668856767</v>
      </c>
      <c r="AC35" s="87">
        <v>61.432325886990803</v>
      </c>
      <c r="AD35" s="52">
        <v>44.103153745072277</v>
      </c>
    </row>
    <row r="36" spans="2:30" x14ac:dyDescent="0.25">
      <c r="J36" s="17">
        <v>2012</v>
      </c>
      <c r="K36" s="52">
        <v>33.47568988173456</v>
      </c>
      <c r="S36" s="17" t="s">
        <v>82</v>
      </c>
      <c r="T36" s="87">
        <v>64.75032851511169</v>
      </c>
      <c r="U36" s="87">
        <v>34.050591327201047</v>
      </c>
      <c r="V36" s="87">
        <v>25.410643889618921</v>
      </c>
      <c r="W36" s="87">
        <v>50.755584756898813</v>
      </c>
      <c r="X36" s="87">
        <v>44.513797634691187</v>
      </c>
      <c r="Y36" s="87">
        <v>50.689881734559791</v>
      </c>
      <c r="Z36" s="87">
        <v>55.781865965834427</v>
      </c>
      <c r="AA36" s="87">
        <v>58.804204993429693</v>
      </c>
      <c r="AB36" s="87">
        <v>71.550591327201047</v>
      </c>
      <c r="AC36" s="87">
        <v>90.02956636005257</v>
      </c>
      <c r="AD36" s="52">
        <v>54.633705650459923</v>
      </c>
    </row>
    <row r="37" spans="2:30" ht="15.75" thickBot="1" x14ac:dyDescent="0.3">
      <c r="J37" s="17">
        <v>2013</v>
      </c>
      <c r="K37" s="52">
        <v>29.434954007884361</v>
      </c>
      <c r="S37" s="31" t="s">
        <v>83</v>
      </c>
      <c r="T37" s="96">
        <v>19.15243101182654</v>
      </c>
      <c r="U37" s="96">
        <v>10.578186596583439</v>
      </c>
      <c r="V37" s="96">
        <v>17.017082785808149</v>
      </c>
      <c r="W37" s="96">
        <v>14.553219448094611</v>
      </c>
      <c r="X37" s="96">
        <v>5.5847568988173446</v>
      </c>
      <c r="Y37" s="96">
        <v>25.32851511169514</v>
      </c>
      <c r="Z37" s="96">
        <v>36.05453350854139</v>
      </c>
      <c r="AA37" s="96">
        <v>7.6215505913272006</v>
      </c>
      <c r="AB37" s="96">
        <v>78.219448094612346</v>
      </c>
      <c r="AC37" s="96">
        <v>34.954007884362682</v>
      </c>
      <c r="AD37" s="97">
        <v>24.906373193166885</v>
      </c>
    </row>
    <row r="38" spans="2:30" ht="15.75" thickBot="1" x14ac:dyDescent="0.3">
      <c r="J38" s="17">
        <v>2014</v>
      </c>
      <c r="K38" s="52">
        <v>20.137976346911959</v>
      </c>
      <c r="S38" s="98" t="s">
        <v>87</v>
      </c>
      <c r="T38" s="99">
        <v>43.314717477003938</v>
      </c>
      <c r="U38" s="99">
        <v>39.101511169513792</v>
      </c>
      <c r="V38" s="99">
        <v>40.369031975470875</v>
      </c>
      <c r="W38" s="99">
        <v>43.862242663162505</v>
      </c>
      <c r="X38" s="99">
        <v>44.322163819535689</v>
      </c>
      <c r="Y38" s="99">
        <v>50.635129215943927</v>
      </c>
      <c r="Z38" s="99">
        <v>55.970762155059134</v>
      </c>
      <c r="AA38" s="99">
        <v>50.930792816469562</v>
      </c>
      <c r="AB38" s="99">
        <v>66.628339903635563</v>
      </c>
      <c r="AC38" s="99">
        <v>68.309242225142341</v>
      </c>
      <c r="AD38" s="100">
        <v>50.344393342093738</v>
      </c>
    </row>
    <row r="39" spans="2:30" x14ac:dyDescent="0.25">
      <c r="J39" s="17">
        <v>2015</v>
      </c>
      <c r="K39" s="52">
        <v>19.513797634691191</v>
      </c>
    </row>
    <row r="40" spans="2:30" x14ac:dyDescent="0.25">
      <c r="J40" s="17">
        <v>2016</v>
      </c>
      <c r="K40" s="52">
        <v>19.8915900131406</v>
      </c>
      <c r="S40" s="1" t="s">
        <v>0</v>
      </c>
      <c r="T40" t="s">
        <v>72</v>
      </c>
    </row>
    <row r="41" spans="2:30" x14ac:dyDescent="0.25">
      <c r="J41" s="17">
        <v>2017</v>
      </c>
      <c r="K41" s="52">
        <v>25.229960578186599</v>
      </c>
    </row>
    <row r="42" spans="2:30" ht="15.75" thickBot="1" x14ac:dyDescent="0.3">
      <c r="J42" s="17">
        <v>2018</v>
      </c>
      <c r="K42" s="52">
        <v>27.5131406044678</v>
      </c>
      <c r="S42" s="1" t="s">
        <v>147</v>
      </c>
    </row>
    <row r="43" spans="2:30" ht="15.75" thickBot="1" x14ac:dyDescent="0.3">
      <c r="J43" s="17">
        <v>2019</v>
      </c>
      <c r="K43" s="52">
        <v>31.406044678055189</v>
      </c>
      <c r="S43" s="101" t="s">
        <v>79</v>
      </c>
      <c r="T43" s="102" t="s">
        <v>57</v>
      </c>
      <c r="U43" s="103" t="s">
        <v>77</v>
      </c>
    </row>
    <row r="44" spans="2:30" x14ac:dyDescent="0.25">
      <c r="J44" s="17">
        <v>2020</v>
      </c>
      <c r="K44" s="52">
        <v>32.999342969776613</v>
      </c>
      <c r="S44" s="15">
        <v>2014</v>
      </c>
      <c r="T44" s="16" t="s">
        <v>84</v>
      </c>
      <c r="U44" s="51">
        <v>55.289093298291718</v>
      </c>
    </row>
    <row r="45" spans="2:30" x14ac:dyDescent="0.25">
      <c r="J45" s="17">
        <v>2021</v>
      </c>
      <c r="K45" s="52">
        <v>32.046649145860712</v>
      </c>
      <c r="S45" s="17">
        <v>2014</v>
      </c>
      <c r="T45" s="13" t="s">
        <v>85</v>
      </c>
      <c r="U45" s="52">
        <v>44.973718791064393</v>
      </c>
    </row>
    <row r="46" spans="2:30" x14ac:dyDescent="0.25">
      <c r="E46" s="36" t="s">
        <v>76</v>
      </c>
      <c r="J46" s="17">
        <v>2022</v>
      </c>
      <c r="K46" s="52">
        <v>36.333771353482263</v>
      </c>
      <c r="S46" s="17">
        <v>2014</v>
      </c>
      <c r="T46" s="13" t="s">
        <v>81</v>
      </c>
      <c r="U46" s="52">
        <v>33.081471747700391</v>
      </c>
    </row>
    <row r="47" spans="2:30" ht="15.75" thickBot="1" x14ac:dyDescent="0.3">
      <c r="E47" s="37">
        <v>31.939881734559791</v>
      </c>
      <c r="J47" s="19">
        <v>2023</v>
      </c>
      <c r="K47" s="53">
        <v>34.888304862023652</v>
      </c>
      <c r="S47" s="17">
        <v>2014</v>
      </c>
      <c r="T47" s="13" t="s">
        <v>80</v>
      </c>
      <c r="U47" s="52">
        <v>42.641261498028911</v>
      </c>
    </row>
    <row r="48" spans="2:30" x14ac:dyDescent="0.25">
      <c r="E48" s="38">
        <v>7.720105124835742</v>
      </c>
      <c r="S48" s="17">
        <v>2014</v>
      </c>
      <c r="T48" s="13" t="s">
        <v>82</v>
      </c>
      <c r="U48" s="52">
        <v>64.75032851511169</v>
      </c>
    </row>
    <row r="49" spans="5:21" x14ac:dyDescent="0.25">
      <c r="E49" s="38">
        <v>3.0469776609724049</v>
      </c>
      <c r="S49" s="17">
        <v>2014</v>
      </c>
      <c r="T49" s="13" t="s">
        <v>83</v>
      </c>
      <c r="U49" s="52">
        <v>19.15243101182654</v>
      </c>
    </row>
    <row r="50" spans="5:21" x14ac:dyDescent="0.25">
      <c r="E50" s="38">
        <v>3.5151116951379762</v>
      </c>
      <c r="S50" s="17">
        <v>2015</v>
      </c>
      <c r="T50" s="13" t="s">
        <v>84</v>
      </c>
      <c r="U50" s="52">
        <v>63.534822601839679</v>
      </c>
    </row>
    <row r="51" spans="5:21" x14ac:dyDescent="0.25">
      <c r="E51" s="38">
        <v>6.0118265440210248</v>
      </c>
      <c r="S51" s="17">
        <v>2015</v>
      </c>
      <c r="T51" s="13" t="s">
        <v>85</v>
      </c>
      <c r="U51" s="52">
        <v>40.867279894875161</v>
      </c>
    </row>
    <row r="52" spans="5:21" x14ac:dyDescent="0.25">
      <c r="E52" s="38">
        <v>8.8699080157687256</v>
      </c>
      <c r="S52" s="17">
        <v>2015</v>
      </c>
      <c r="T52" s="13" t="s">
        <v>81</v>
      </c>
      <c r="U52" s="52">
        <v>56.86596583442838</v>
      </c>
    </row>
    <row r="53" spans="5:21" x14ac:dyDescent="0.25">
      <c r="E53" s="38">
        <v>10.38929040735874</v>
      </c>
      <c r="S53" s="17">
        <v>2015</v>
      </c>
      <c r="T53" s="13" t="s">
        <v>80</v>
      </c>
      <c r="U53" s="52">
        <v>28.712220762155059</v>
      </c>
    </row>
    <row r="54" spans="5:21" x14ac:dyDescent="0.25">
      <c r="E54" s="38">
        <v>8.5742444152431005</v>
      </c>
      <c r="S54" s="17">
        <v>2015</v>
      </c>
      <c r="T54" s="13" t="s">
        <v>82</v>
      </c>
      <c r="U54" s="52">
        <v>34.050591327201047</v>
      </c>
    </row>
    <row r="55" spans="5:21" x14ac:dyDescent="0.25">
      <c r="E55" s="38">
        <v>9.3791064388961889</v>
      </c>
      <c r="S55" s="17">
        <v>2015</v>
      </c>
      <c r="T55" s="13" t="s">
        <v>83</v>
      </c>
      <c r="U55" s="52">
        <v>10.578186596583439</v>
      </c>
    </row>
    <row r="56" spans="5:21" x14ac:dyDescent="0.25">
      <c r="E56" s="38">
        <v>15.76872536136662</v>
      </c>
      <c r="S56" s="17">
        <v>2016</v>
      </c>
      <c r="T56" s="13" t="s">
        <v>84</v>
      </c>
      <c r="U56" s="52">
        <v>68.577529566360056</v>
      </c>
    </row>
    <row r="57" spans="5:21" x14ac:dyDescent="0.25">
      <c r="E57" s="38">
        <v>15.407358738501969</v>
      </c>
      <c r="S57" s="17">
        <v>2016</v>
      </c>
      <c r="T57" s="13" t="s">
        <v>85</v>
      </c>
      <c r="U57" s="52">
        <v>36.448751642575559</v>
      </c>
    </row>
    <row r="58" spans="5:21" x14ac:dyDescent="0.25">
      <c r="E58" s="38">
        <v>15.538764783180021</v>
      </c>
      <c r="S58" s="17">
        <v>2016</v>
      </c>
      <c r="T58" s="13" t="s">
        <v>81</v>
      </c>
      <c r="U58" s="52">
        <f>(U52+U64)/2</f>
        <v>53.564388961892249</v>
      </c>
    </row>
    <row r="59" spans="5:21" x14ac:dyDescent="0.25">
      <c r="E59" s="38">
        <v>20.080486202365311</v>
      </c>
      <c r="S59" s="17">
        <v>2016</v>
      </c>
      <c r="T59" s="13" t="s">
        <v>80</v>
      </c>
      <c r="U59" s="52">
        <v>41.1957950065703</v>
      </c>
    </row>
    <row r="60" spans="5:21" x14ac:dyDescent="0.25">
      <c r="E60" s="38">
        <v>17.575558475689881</v>
      </c>
      <c r="S60" s="17">
        <v>2016</v>
      </c>
      <c r="T60" s="13" t="s">
        <v>82</v>
      </c>
      <c r="U60" s="52">
        <v>25.410643889618921</v>
      </c>
    </row>
    <row r="61" spans="5:21" x14ac:dyDescent="0.25">
      <c r="E61" s="38">
        <v>12.253613666228651</v>
      </c>
      <c r="S61" s="17">
        <v>2016</v>
      </c>
      <c r="T61" s="13" t="s">
        <v>83</v>
      </c>
      <c r="U61" s="52">
        <v>17.017082785808149</v>
      </c>
    </row>
    <row r="62" spans="5:21" x14ac:dyDescent="0.25">
      <c r="E62" s="38">
        <v>12.729960578186599</v>
      </c>
      <c r="S62" s="17">
        <v>2017</v>
      </c>
      <c r="T62" s="13" t="s">
        <v>84</v>
      </c>
      <c r="U62" s="52">
        <v>65.93298291721419</v>
      </c>
    </row>
    <row r="63" spans="5:21" x14ac:dyDescent="0.25">
      <c r="E63" s="38">
        <v>15.00492772667543</v>
      </c>
      <c r="S63" s="17">
        <v>2017</v>
      </c>
      <c r="T63" s="13" t="s">
        <v>85</v>
      </c>
      <c r="U63" s="52">
        <v>44.546649145860712</v>
      </c>
    </row>
    <row r="64" spans="5:21" x14ac:dyDescent="0.25">
      <c r="E64" s="38">
        <v>17.690538764783181</v>
      </c>
      <c r="S64" s="17">
        <v>2017</v>
      </c>
      <c r="T64" s="13" t="s">
        <v>81</v>
      </c>
      <c r="U64" s="52">
        <v>50.26281208935611</v>
      </c>
    </row>
    <row r="65" spans="5:21" x14ac:dyDescent="0.25">
      <c r="E65" s="38">
        <v>17.624835742444152</v>
      </c>
      <c r="S65" s="17">
        <v>2017</v>
      </c>
      <c r="T65" s="13" t="s">
        <v>80</v>
      </c>
      <c r="U65" s="52">
        <v>37.122207621550587</v>
      </c>
    </row>
    <row r="66" spans="5:21" x14ac:dyDescent="0.25">
      <c r="E66" s="38">
        <v>26.954664914586068</v>
      </c>
      <c r="S66" s="17">
        <v>2017</v>
      </c>
      <c r="T66" s="13" t="s">
        <v>82</v>
      </c>
      <c r="U66" s="52">
        <v>50.755584756898813</v>
      </c>
    </row>
    <row r="67" spans="5:21" x14ac:dyDescent="0.25">
      <c r="E67" s="38">
        <v>21.739487516425751</v>
      </c>
      <c r="S67" s="17">
        <v>2017</v>
      </c>
      <c r="T67" s="13" t="s">
        <v>83</v>
      </c>
      <c r="U67" s="52">
        <v>14.553219448094611</v>
      </c>
    </row>
    <row r="68" spans="5:21" x14ac:dyDescent="0.25">
      <c r="E68" s="38">
        <v>19.95729303547963</v>
      </c>
      <c r="S68" s="17">
        <v>2018</v>
      </c>
      <c r="T68" s="13" t="s">
        <v>84</v>
      </c>
      <c r="U68" s="52">
        <v>70.877135348226005</v>
      </c>
    </row>
    <row r="69" spans="5:21" x14ac:dyDescent="0.25">
      <c r="E69" s="38">
        <v>22.3718791064389</v>
      </c>
      <c r="S69" s="17">
        <v>2018</v>
      </c>
      <c r="T69" s="13" t="s">
        <v>85</v>
      </c>
      <c r="U69" s="52">
        <v>55.634034165571613</v>
      </c>
    </row>
    <row r="70" spans="5:21" x14ac:dyDescent="0.25">
      <c r="E70" s="38">
        <v>18.002628120893561</v>
      </c>
      <c r="S70" s="17">
        <v>2018</v>
      </c>
      <c r="T70" s="13" t="s">
        <v>81</v>
      </c>
      <c r="U70" s="52">
        <v>46.616294349540077</v>
      </c>
    </row>
    <row r="71" spans="5:21" x14ac:dyDescent="0.25">
      <c r="S71" s="17">
        <v>2018</v>
      </c>
      <c r="T71" s="13" t="s">
        <v>80</v>
      </c>
      <c r="U71" s="52">
        <v>42.706964520367933</v>
      </c>
    </row>
    <row r="72" spans="5:21" x14ac:dyDescent="0.25">
      <c r="E72" s="39"/>
      <c r="F72" s="39"/>
      <c r="S72" s="17">
        <v>2018</v>
      </c>
      <c r="T72" s="13" t="s">
        <v>82</v>
      </c>
      <c r="U72" s="52">
        <v>44.513797634691187</v>
      </c>
    </row>
    <row r="73" spans="5:21" x14ac:dyDescent="0.25">
      <c r="E73" s="36" t="s">
        <v>76</v>
      </c>
      <c r="S73" s="17">
        <v>2018</v>
      </c>
      <c r="T73" s="13" t="s">
        <v>83</v>
      </c>
      <c r="U73" s="52">
        <v>5.5847568988173446</v>
      </c>
    </row>
    <row r="74" spans="5:21" x14ac:dyDescent="0.25">
      <c r="E74" s="12">
        <v>48.8173455978975</v>
      </c>
      <c r="S74" s="17">
        <v>2019</v>
      </c>
      <c r="T74" s="13" t="s">
        <v>84</v>
      </c>
      <c r="U74" s="52">
        <v>83.04862023653088</v>
      </c>
    </row>
    <row r="75" spans="5:21" x14ac:dyDescent="0.25">
      <c r="E75" s="12">
        <v>28.022339027595269</v>
      </c>
      <c r="S75" s="17">
        <v>2019</v>
      </c>
      <c r="T75" s="13" t="s">
        <v>85</v>
      </c>
      <c r="U75" s="52">
        <v>50.229960578186592</v>
      </c>
    </row>
    <row r="76" spans="5:21" x14ac:dyDescent="0.25">
      <c r="E76" s="12">
        <v>27.973061760840999</v>
      </c>
      <c r="S76" s="17">
        <v>2019</v>
      </c>
      <c r="T76" s="13" t="s">
        <v>81</v>
      </c>
      <c r="U76" s="52">
        <v>58.114323258869902</v>
      </c>
    </row>
    <row r="77" spans="5:21" x14ac:dyDescent="0.25">
      <c r="E77" s="12">
        <v>17.312746386333771</v>
      </c>
      <c r="S77" s="17">
        <v>2019</v>
      </c>
      <c r="T77" s="13" t="s">
        <v>80</v>
      </c>
      <c r="U77" s="52">
        <v>36.399474375821278</v>
      </c>
    </row>
    <row r="78" spans="5:21" x14ac:dyDescent="0.25">
      <c r="E78" s="12">
        <v>36.588370565045992</v>
      </c>
      <c r="S78" s="17">
        <v>2019</v>
      </c>
      <c r="T78" s="13" t="s">
        <v>82</v>
      </c>
      <c r="U78" s="52">
        <v>50.689881734559791</v>
      </c>
    </row>
    <row r="79" spans="5:21" x14ac:dyDescent="0.25">
      <c r="E79" s="12">
        <v>13.76478318002628</v>
      </c>
      <c r="S79" s="17">
        <v>2019</v>
      </c>
      <c r="T79" s="13" t="s">
        <v>83</v>
      </c>
      <c r="U79" s="52">
        <v>25.32851511169514</v>
      </c>
    </row>
    <row r="80" spans="5:21" x14ac:dyDescent="0.25">
      <c r="E80" s="12">
        <v>56.603153745072269</v>
      </c>
      <c r="S80" s="17">
        <v>2020</v>
      </c>
      <c r="T80" s="13" t="s">
        <v>84</v>
      </c>
      <c r="U80" s="52">
        <v>79.106438896189218</v>
      </c>
    </row>
    <row r="81" spans="5:21" x14ac:dyDescent="0.25">
      <c r="E81" s="12">
        <v>30.502628120893561</v>
      </c>
      <c r="S81" s="17">
        <v>2020</v>
      </c>
      <c r="T81" s="13" t="s">
        <v>85</v>
      </c>
      <c r="U81" s="52">
        <v>37.023653088042053</v>
      </c>
    </row>
    <row r="82" spans="5:21" x14ac:dyDescent="0.25">
      <c r="E82" s="12">
        <v>56.86596583442838</v>
      </c>
      <c r="S82" s="17">
        <v>2020</v>
      </c>
      <c r="T82" s="13" t="s">
        <v>81</v>
      </c>
      <c r="U82" s="52">
        <v>94.382391590013142</v>
      </c>
    </row>
    <row r="83" spans="5:21" x14ac:dyDescent="0.25">
      <c r="E83" s="12">
        <v>19.36596583442838</v>
      </c>
      <c r="S83" s="17">
        <v>2020</v>
      </c>
      <c r="T83" s="13" t="s">
        <v>80</v>
      </c>
      <c r="U83" s="52">
        <v>33.47568988173456</v>
      </c>
    </row>
    <row r="84" spans="5:21" x14ac:dyDescent="0.25">
      <c r="E84" s="12">
        <v>29.738830486202371</v>
      </c>
      <c r="S84" s="17">
        <v>2020</v>
      </c>
      <c r="T84" s="13" t="s">
        <v>82</v>
      </c>
      <c r="U84" s="52">
        <v>55.781865965834427</v>
      </c>
    </row>
    <row r="85" spans="5:21" x14ac:dyDescent="0.25">
      <c r="E85" s="12">
        <v>5.1494743758212884</v>
      </c>
      <c r="S85" s="17">
        <v>2020</v>
      </c>
      <c r="T85" s="13" t="s">
        <v>83</v>
      </c>
      <c r="U85" s="52">
        <v>36.05453350854139</v>
      </c>
    </row>
    <row r="86" spans="5:21" x14ac:dyDescent="0.25">
      <c r="E86" s="12">
        <v>61.925098554533513</v>
      </c>
      <c r="S86" s="17">
        <v>2021</v>
      </c>
      <c r="T86" s="13" t="s">
        <v>84</v>
      </c>
      <c r="U86" s="52">
        <v>62.549277266754267</v>
      </c>
    </row>
    <row r="87" spans="5:21" x14ac:dyDescent="0.25">
      <c r="E87" s="12">
        <v>26.691852825229962</v>
      </c>
      <c r="S87" s="17">
        <v>2021</v>
      </c>
      <c r="T87" s="13" t="s">
        <v>85</v>
      </c>
      <c r="U87" s="52">
        <v>40.965834428383701</v>
      </c>
    </row>
    <row r="88" spans="5:21" x14ac:dyDescent="0.25">
      <c r="E88" s="12">
        <v>96.61629434954007</v>
      </c>
      <c r="S88" s="17">
        <v>2021</v>
      </c>
      <c r="T88" s="13" t="s">
        <v>81</v>
      </c>
      <c r="U88" s="52">
        <v>82.03022339027595</v>
      </c>
    </row>
    <row r="89" spans="5:21" x14ac:dyDescent="0.25">
      <c r="E89" s="12">
        <v>27.759526938239159</v>
      </c>
      <c r="S89" s="17">
        <v>2021</v>
      </c>
      <c r="T89" s="13" t="s">
        <v>80</v>
      </c>
      <c r="U89" s="52">
        <v>53.613666228646522</v>
      </c>
    </row>
    <row r="90" spans="5:21" x14ac:dyDescent="0.25">
      <c r="E90" s="12">
        <v>20.696452036793691</v>
      </c>
      <c r="S90" s="17">
        <v>2021</v>
      </c>
      <c r="T90" s="13" t="s">
        <v>82</v>
      </c>
      <c r="U90" s="52">
        <v>58.804204993429693</v>
      </c>
    </row>
    <row r="91" spans="5:21" x14ac:dyDescent="0.25">
      <c r="E91" s="12">
        <v>14.980289093298291</v>
      </c>
      <c r="S91" s="17">
        <v>2021</v>
      </c>
      <c r="T91" s="13" t="s">
        <v>83</v>
      </c>
      <c r="U91" s="52">
        <v>7.6215505913272006</v>
      </c>
    </row>
    <row r="92" spans="5:21" x14ac:dyDescent="0.25">
      <c r="E92" s="12">
        <v>54.344612352168198</v>
      </c>
      <c r="S92" s="17">
        <v>2022</v>
      </c>
      <c r="T92" s="13" t="s">
        <v>84</v>
      </c>
      <c r="U92" s="52">
        <v>95.170827858081466</v>
      </c>
    </row>
    <row r="93" spans="5:21" x14ac:dyDescent="0.25">
      <c r="E93" s="12">
        <v>37.270039421813401</v>
      </c>
      <c r="S93" s="17">
        <v>2022</v>
      </c>
      <c r="T93" s="13" t="s">
        <v>85</v>
      </c>
      <c r="U93" s="52">
        <v>37.450722733245733</v>
      </c>
    </row>
    <row r="94" spans="5:21" x14ac:dyDescent="0.25">
      <c r="E94" s="12">
        <v>50.26281208935611</v>
      </c>
      <c r="S94" s="17">
        <v>2022</v>
      </c>
      <c r="T94" s="13" t="s">
        <v>81</v>
      </c>
      <c r="U94" s="52">
        <v>53.646517739816026</v>
      </c>
    </row>
    <row r="95" spans="5:21" x14ac:dyDescent="0.25">
      <c r="E95" s="12">
        <v>20.33508541392904</v>
      </c>
      <c r="S95" s="17">
        <v>2022</v>
      </c>
      <c r="T95" s="13" t="s">
        <v>80</v>
      </c>
      <c r="U95" s="52">
        <v>63.731931668856767</v>
      </c>
    </row>
    <row r="96" spans="5:21" x14ac:dyDescent="0.25">
      <c r="E96" s="12">
        <v>38.534822601839679</v>
      </c>
      <c r="S96" s="17">
        <v>2022</v>
      </c>
      <c r="T96" s="13" t="s">
        <v>82</v>
      </c>
      <c r="U96" s="52">
        <v>71.550591327201047</v>
      </c>
    </row>
    <row r="97" spans="5:21" x14ac:dyDescent="0.25">
      <c r="E97" s="12">
        <v>11.79369250985545</v>
      </c>
      <c r="S97" s="17">
        <v>2022</v>
      </c>
      <c r="T97" s="13" t="s">
        <v>83</v>
      </c>
      <c r="U97" s="52">
        <v>78.219448094612346</v>
      </c>
    </row>
    <row r="98" spans="5:21" x14ac:dyDescent="0.25">
      <c r="E98" s="12">
        <v>42.123850197109057</v>
      </c>
      <c r="S98" s="17">
        <v>2023</v>
      </c>
      <c r="T98" s="13" t="s">
        <v>84</v>
      </c>
      <c r="U98" s="52">
        <v>100.44349540078839</v>
      </c>
    </row>
    <row r="99" spans="5:21" x14ac:dyDescent="0.25">
      <c r="E99" s="12">
        <v>43.864980289093303</v>
      </c>
      <c r="S99" s="17">
        <v>2023</v>
      </c>
      <c r="T99" s="13" t="s">
        <v>85</v>
      </c>
      <c r="U99" s="52">
        <v>46.550591327201047</v>
      </c>
    </row>
    <row r="100" spans="5:21" x14ac:dyDescent="0.25">
      <c r="E100" s="12">
        <v>31.783837056504598</v>
      </c>
      <c r="S100" s="17">
        <v>2023</v>
      </c>
      <c r="T100" s="13" t="s">
        <v>81</v>
      </c>
      <c r="U100" s="52">
        <v>76.445466491458603</v>
      </c>
    </row>
    <row r="101" spans="5:21" x14ac:dyDescent="0.25">
      <c r="E101" s="12">
        <v>22.224047306176079</v>
      </c>
      <c r="S101" s="17">
        <v>2023</v>
      </c>
      <c r="T101" s="13" t="s">
        <v>80</v>
      </c>
      <c r="U101" s="52">
        <v>61.432325886990803</v>
      </c>
    </row>
    <row r="102" spans="5:21" x14ac:dyDescent="0.25">
      <c r="E102" s="12">
        <v>35.791721419185279</v>
      </c>
      <c r="H102" s="86"/>
      <c r="I102" s="12"/>
      <c r="J102" s="12"/>
      <c r="K102" s="12"/>
      <c r="L102" s="12"/>
      <c r="M102" s="12"/>
      <c r="N102" s="12"/>
      <c r="O102" s="12"/>
      <c r="P102" s="12"/>
      <c r="S102" s="17">
        <v>2023</v>
      </c>
      <c r="T102" s="13" t="s">
        <v>82</v>
      </c>
      <c r="U102" s="52">
        <v>90.02956636005257</v>
      </c>
    </row>
    <row r="103" spans="5:21" ht="15.75" thickBot="1" x14ac:dyDescent="0.3">
      <c r="E103" s="12">
        <v>5.3876478318002627</v>
      </c>
      <c r="H103" s="86"/>
      <c r="I103" s="12"/>
      <c r="J103" s="12"/>
      <c r="K103" s="12"/>
      <c r="L103" s="12"/>
      <c r="M103" s="12"/>
      <c r="N103" s="12"/>
      <c r="O103" s="12"/>
      <c r="P103" s="12"/>
      <c r="S103" s="19">
        <v>2023</v>
      </c>
      <c r="T103" s="20" t="s">
        <v>83</v>
      </c>
      <c r="U103" s="53">
        <v>34.954007884362682</v>
      </c>
    </row>
    <row r="104" spans="5:21" x14ac:dyDescent="0.25">
      <c r="E104" s="12">
        <v>67.838370565045992</v>
      </c>
      <c r="H104" s="86"/>
      <c r="I104" s="12"/>
      <c r="J104" s="12"/>
      <c r="K104" s="12"/>
      <c r="L104" s="12"/>
      <c r="M104" s="12"/>
      <c r="N104" s="12"/>
      <c r="O104" s="12"/>
      <c r="P104" s="12"/>
    </row>
    <row r="105" spans="5:21" x14ac:dyDescent="0.25">
      <c r="E105" s="12">
        <v>31.84132720105125</v>
      </c>
      <c r="H105" s="86"/>
      <c r="I105" s="12"/>
      <c r="J105" s="12"/>
      <c r="K105" s="12"/>
      <c r="L105" s="12"/>
      <c r="M105" s="12"/>
      <c r="N105" s="12"/>
      <c r="O105" s="12"/>
      <c r="P105" s="12"/>
    </row>
    <row r="106" spans="5:21" x14ac:dyDescent="0.25">
      <c r="E106" s="12">
        <v>51.741130091984232</v>
      </c>
      <c r="H106" s="86"/>
      <c r="I106" s="12"/>
      <c r="J106" s="12"/>
      <c r="K106" s="12"/>
      <c r="L106" s="12"/>
      <c r="M106" s="12"/>
      <c r="N106" s="12"/>
      <c r="O106" s="12"/>
      <c r="P106" s="12"/>
    </row>
    <row r="107" spans="5:21" x14ac:dyDescent="0.25">
      <c r="E107" s="12">
        <v>19.25098554533508</v>
      </c>
      <c r="H107" s="86"/>
      <c r="I107" s="12"/>
      <c r="J107" s="12"/>
      <c r="K107" s="12"/>
      <c r="L107" s="12"/>
      <c r="M107" s="12"/>
      <c r="N107" s="12"/>
      <c r="O107" s="12"/>
      <c r="P107" s="12"/>
    </row>
    <row r="108" spans="5:21" x14ac:dyDescent="0.25">
      <c r="E108" s="12">
        <v>44.940867279894867</v>
      </c>
    </row>
    <row r="109" spans="5:21" x14ac:dyDescent="0.25">
      <c r="E109" s="12">
        <v>23.111038107752961</v>
      </c>
    </row>
    <row r="110" spans="5:21" x14ac:dyDescent="0.25">
      <c r="E110" s="12">
        <v>75.763797634691201</v>
      </c>
    </row>
    <row r="111" spans="5:21" x14ac:dyDescent="0.25">
      <c r="E111" s="12">
        <v>29.106438896189221</v>
      </c>
    </row>
    <row r="112" spans="5:21" x14ac:dyDescent="0.25">
      <c r="E112" s="12">
        <v>94.382391590013142</v>
      </c>
    </row>
    <row r="113" spans="5:5" x14ac:dyDescent="0.25">
      <c r="E113" s="12">
        <v>9.6911957950065695</v>
      </c>
    </row>
    <row r="114" spans="5:5" x14ac:dyDescent="0.25">
      <c r="E114" s="12">
        <v>49.030880420499336</v>
      </c>
    </row>
    <row r="115" spans="5:5" x14ac:dyDescent="0.25">
      <c r="E115" s="12">
        <v>32.958278580814707</v>
      </c>
    </row>
    <row r="116" spans="5:5" x14ac:dyDescent="0.25">
      <c r="E116" s="12">
        <v>35.413929040735873</v>
      </c>
    </row>
    <row r="117" spans="5:5" x14ac:dyDescent="0.25">
      <c r="E117" s="12">
        <v>28.038764783180032</v>
      </c>
    </row>
    <row r="118" spans="5:5" x14ac:dyDescent="0.25">
      <c r="E118" s="12">
        <v>67.164914586070964</v>
      </c>
    </row>
    <row r="119" spans="5:5" x14ac:dyDescent="0.25">
      <c r="E119" s="12">
        <v>25.484559789750332</v>
      </c>
    </row>
    <row r="120" spans="5:5" x14ac:dyDescent="0.25">
      <c r="E120" s="12">
        <v>54.402102496714853</v>
      </c>
    </row>
    <row r="121" spans="5:5" x14ac:dyDescent="0.25">
      <c r="E121" s="12">
        <v>4.5006570302233904</v>
      </c>
    </row>
    <row r="122" spans="5:5" x14ac:dyDescent="0.25">
      <c r="E122" s="12">
        <v>82.490144546649148</v>
      </c>
    </row>
    <row r="123" spans="5:5" x14ac:dyDescent="0.25">
      <c r="E123" s="12">
        <v>30.141261498028911</v>
      </c>
    </row>
    <row r="124" spans="5:5" x14ac:dyDescent="0.25">
      <c r="E124" s="12">
        <v>49.967148488830482</v>
      </c>
    </row>
    <row r="125" spans="5:5" x14ac:dyDescent="0.25">
      <c r="E125" s="12">
        <v>43.988173455978973</v>
      </c>
    </row>
    <row r="126" spans="5:5" x14ac:dyDescent="0.25">
      <c r="E126" s="12">
        <v>71.40275952693824</v>
      </c>
    </row>
    <row r="127" spans="5:5" x14ac:dyDescent="0.25">
      <c r="E127" s="12">
        <v>51.100525624178708</v>
      </c>
    </row>
    <row r="128" spans="5:5" x14ac:dyDescent="0.25">
      <c r="E128" s="12">
        <v>90.694809461235224</v>
      </c>
    </row>
    <row r="129" spans="5:5" x14ac:dyDescent="0.25">
      <c r="E129" s="12">
        <v>37.23718791064389</v>
      </c>
    </row>
    <row r="130" spans="5:5" x14ac:dyDescent="0.25">
      <c r="E130" s="12">
        <v>64.159001314060447</v>
      </c>
    </row>
    <row r="131" spans="5:5" x14ac:dyDescent="0.25">
      <c r="E131" s="12">
        <v>47.831800262812088</v>
      </c>
    </row>
    <row r="132" spans="5:5" x14ac:dyDescent="0.25">
      <c r="E132" s="12">
        <v>62.097568988173457</v>
      </c>
    </row>
    <row r="133" spans="5:5" x14ac:dyDescent="0.25">
      <c r="E133" s="12">
        <v>23.193166885676739</v>
      </c>
    </row>
  </sheetData>
  <sortState xmlns:xlrd2="http://schemas.microsoft.com/office/spreadsheetml/2017/richdata2" ref="S23:T28">
    <sortCondition ref="T23:T28"/>
  </sortState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Figures and Tables</vt:lpstr>
      <vt:lpstr>Input Tabs &gt;&gt;&gt;</vt:lpstr>
      <vt:lpstr>Figure 1</vt:lpstr>
      <vt:lpstr>Figure 2</vt:lpstr>
      <vt:lpstr>Figure 5</vt:lpstr>
      <vt:lpstr>Figure 6</vt:lpstr>
      <vt:lpstr>Figure 8</vt:lpstr>
      <vt:lpstr>Figures 9, 10, and 11</vt:lpstr>
      <vt:lpstr>Figures 12, 13 and 14</vt:lpstr>
      <vt:lpstr>Figure 15</vt:lpstr>
      <vt:lpstr>Figure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Hubbs</dc:creator>
  <cp:lastModifiedBy>Paul Hubbs</cp:lastModifiedBy>
  <dcterms:created xsi:type="dcterms:W3CDTF">2015-06-05T18:17:20Z</dcterms:created>
  <dcterms:modified xsi:type="dcterms:W3CDTF">2026-03-23T22:45:41Z</dcterms:modified>
</cp:coreProperties>
</file>